
<file path=[Content_Types].xml><?xml version="1.0" encoding="utf-8"?>
<Types xmlns="http://schemas.openxmlformats.org/package/2006/content-types">
  <Default Extension="bin" ContentType="application/vnd.openxmlformats-officedocument.spreadsheetml.customProperty"/>
  <Override PartName="/xl/printerSettings/printerSettings1.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1665" yWindow="2595" windowWidth="19320" windowHeight="15480" tabRatio="788" firstSheet="1" activeTab="1"/>
  </bookViews>
  <sheets>
    <sheet name="Ene" sheetId="14" state="hidden" r:id="rId1"/>
    <sheet name="Mar" sheetId="37" r:id="rId2"/>
    <sheet name="Apr" sheetId="38" state="hidden" r:id="rId3"/>
    <sheet name="May" sheetId="39" state="hidden" r:id="rId4"/>
    <sheet name="Jun" sheetId="40" state="hidden" r:id="rId5"/>
    <sheet name="Jul" sheetId="41" state="hidden" r:id="rId6"/>
    <sheet name="Ago" sheetId="42" state="hidden" r:id="rId7"/>
    <sheet name="Sep" sheetId="43" state="hidden" r:id="rId8"/>
    <sheet name="Oct" sheetId="44" state="hidden" r:id="rId9"/>
    <sheet name="Nov" sheetId="45" state="hidden" r:id="rId10"/>
    <sheet name="Dec" sheetId="46" state="hidden" r:id="rId11"/>
    <sheet name="Lista de búsqueda" sheetId="15" state="hidden" r:id="rId12"/>
  </sheets>
  <definedNames>
    <definedName name="AprSun1">DATE(CalendarYear,4,1)-WEEKDAY(DATE(CalendarYear,4,1))+1</definedName>
    <definedName name="_xlnm.Print_Area" localSheetId="0">Ene!$A$1:$H$14</definedName>
    <definedName name="_xlnm.Print_Area" localSheetId="1">Mar!$A$1:$H$14</definedName>
    <definedName name="AugSun1">DATE(CalendarYear,8,1)-WEEKDAY(DATE(CalendarYear,8,1))+1</definedName>
    <definedName name="CalendarYear">Ene!$K$1</definedName>
    <definedName name="DecSun1">DATE(CalendarYear,12,1)-WEEKDAY(DATE(CalendarYear,12,1))+1</definedName>
    <definedName name="FebSun1">DATE(CalendarYear,2,1)-WEEKDAY(DATE(CalendarYear,2,1))+1</definedName>
    <definedName name="JanSun1">DATE(CalendarYear,1,1)-WEEKDAY(DATE(CalendarYear,1,1))+1</definedName>
    <definedName name="JulSun1">DATE(CalendarYear,7,1)-WEEKDAY(DATE(CalendarYear,7,1))+1</definedName>
    <definedName name="JunSun1">DATE(CalendarYear,6,1)-WEEKDAY(DATE(CalendarYear,6,1))+1</definedName>
    <definedName name="MarSun1">DATE(CalendarYear,3,1)-WEEKDAY(DATE(CalendarYear,3,1))+1</definedName>
    <definedName name="MaySun1">DATE(CalendarYear,5,1)-WEEKDAY(DATE(CalendarYear,5,1))+1</definedName>
    <definedName name="NovSun1">DATE(CalendarYear,11,1)-WEEKDAY(DATE(CalendarYear,11,1))+1</definedName>
    <definedName name="OctSun1">DATE(CalendarYear,10,1)-WEEKDAY(DATE(CalendarYear,10,1))+1</definedName>
    <definedName name="SepSun1">DATE(CalendarYear,9,1)-WEEKDAY(DATE(CalendarYear,9,1))+1</definedName>
    <definedName name="Year">'Lista de búsqueda'!$A$2:$A$12</definedName>
  </definedNames>
  <calcPr calcId="114210" concurrentCalc="0"/>
</workbook>
</file>

<file path=xl/calcChain.xml><?xml version="1.0" encoding="utf-8"?>
<calcChain xmlns="http://schemas.openxmlformats.org/spreadsheetml/2006/main">
  <c r="B5" i="37"/>
  <c r="B7"/>
  <c r="G9"/>
  <c r="C13" i="46"/>
  <c r="B13"/>
  <c r="H11"/>
  <c r="G11"/>
  <c r="F11"/>
  <c r="E11"/>
  <c r="D11"/>
  <c r="C11"/>
  <c r="B11"/>
  <c r="H9"/>
  <c r="G9"/>
  <c r="F9"/>
  <c r="E9"/>
  <c r="D9"/>
  <c r="C9"/>
  <c r="B9"/>
  <c r="H7"/>
  <c r="G7"/>
  <c r="F7"/>
  <c r="E7"/>
  <c r="D7"/>
  <c r="C7"/>
  <c r="B7"/>
  <c r="H5"/>
  <c r="G5"/>
  <c r="F5"/>
  <c r="E5"/>
  <c r="D5"/>
  <c r="C5"/>
  <c r="B5"/>
  <c r="H3"/>
  <c r="G3"/>
  <c r="F3"/>
  <c r="E3"/>
  <c r="D3"/>
  <c r="C3"/>
  <c r="B3"/>
  <c r="B1"/>
  <c r="C13" i="45"/>
  <c r="B13"/>
  <c r="H11"/>
  <c r="G11"/>
  <c r="F11"/>
  <c r="E11"/>
  <c r="D11"/>
  <c r="C11"/>
  <c r="B11"/>
  <c r="H9"/>
  <c r="G9"/>
  <c r="F9"/>
  <c r="E9"/>
  <c r="D9"/>
  <c r="C9"/>
  <c r="B9"/>
  <c r="H7"/>
  <c r="G7"/>
  <c r="F7"/>
  <c r="E7"/>
  <c r="D7"/>
  <c r="C7"/>
  <c r="B7"/>
  <c r="H5"/>
  <c r="G5"/>
  <c r="F5"/>
  <c r="E5"/>
  <c r="D5"/>
  <c r="C5"/>
  <c r="B5"/>
  <c r="H3"/>
  <c r="G3"/>
  <c r="F3"/>
  <c r="E3"/>
  <c r="D3"/>
  <c r="C3"/>
  <c r="B3"/>
  <c r="B1"/>
  <c r="C13" i="44"/>
  <c r="B13"/>
  <c r="H11"/>
  <c r="G11"/>
  <c r="F11"/>
  <c r="E11"/>
  <c r="D11"/>
  <c r="C11"/>
  <c r="B11"/>
  <c r="H9"/>
  <c r="G9"/>
  <c r="F9"/>
  <c r="E9"/>
  <c r="D9"/>
  <c r="C9"/>
  <c r="B9"/>
  <c r="H7"/>
  <c r="G7"/>
  <c r="F7"/>
  <c r="E7"/>
  <c r="D7"/>
  <c r="C7"/>
  <c r="B7"/>
  <c r="H5"/>
  <c r="G5"/>
  <c r="F5"/>
  <c r="E5"/>
  <c r="D5"/>
  <c r="C5"/>
  <c r="B5"/>
  <c r="H3"/>
  <c r="G3"/>
  <c r="F3"/>
  <c r="E3"/>
  <c r="D3"/>
  <c r="C3"/>
  <c r="B3"/>
  <c r="B1"/>
  <c r="C13" i="43"/>
  <c r="B13"/>
  <c r="H11"/>
  <c r="G11"/>
  <c r="F11"/>
  <c r="E11"/>
  <c r="D11"/>
  <c r="C11"/>
  <c r="B11"/>
  <c r="H9"/>
  <c r="G9"/>
  <c r="F9"/>
  <c r="E9"/>
  <c r="D9"/>
  <c r="C9"/>
  <c r="B9"/>
  <c r="H7"/>
  <c r="G7"/>
  <c r="F7"/>
  <c r="E7"/>
  <c r="D7"/>
  <c r="C7"/>
  <c r="B7"/>
  <c r="H5"/>
  <c r="G5"/>
  <c r="F5"/>
  <c r="E5"/>
  <c r="D5"/>
  <c r="C5"/>
  <c r="B5"/>
  <c r="H3"/>
  <c r="G3"/>
  <c r="F3"/>
  <c r="E3"/>
  <c r="D3"/>
  <c r="C3"/>
  <c r="B3"/>
  <c r="B1"/>
  <c r="C13" i="42"/>
  <c r="B13"/>
  <c r="H11"/>
  <c r="G11"/>
  <c r="F11"/>
  <c r="E11"/>
  <c r="D11"/>
  <c r="C11"/>
  <c r="B11"/>
  <c r="H9"/>
  <c r="G9"/>
  <c r="F9"/>
  <c r="E9"/>
  <c r="D9"/>
  <c r="C9"/>
  <c r="B9"/>
  <c r="H7"/>
  <c r="G7"/>
  <c r="F7"/>
  <c r="E7"/>
  <c r="D7"/>
  <c r="C7"/>
  <c r="B7"/>
  <c r="H5"/>
  <c r="G5"/>
  <c r="F5"/>
  <c r="E5"/>
  <c r="D5"/>
  <c r="C5"/>
  <c r="B5"/>
  <c r="H3"/>
  <c r="G3"/>
  <c r="F3"/>
  <c r="E3"/>
  <c r="D3"/>
  <c r="C3"/>
  <c r="B3"/>
  <c r="B1"/>
  <c r="C13" i="41"/>
  <c r="B13"/>
  <c r="H11"/>
  <c r="G11"/>
  <c r="F11"/>
  <c r="E11"/>
  <c r="D11"/>
  <c r="C11"/>
  <c r="B11"/>
  <c r="H9"/>
  <c r="G9"/>
  <c r="F9"/>
  <c r="E9"/>
  <c r="D9"/>
  <c r="C9"/>
  <c r="B9"/>
  <c r="H7"/>
  <c r="G7"/>
  <c r="F7"/>
  <c r="E7"/>
  <c r="D7"/>
  <c r="C7"/>
  <c r="B7"/>
  <c r="H5"/>
  <c r="G5"/>
  <c r="F5"/>
  <c r="E5"/>
  <c r="D5"/>
  <c r="C5"/>
  <c r="B5"/>
  <c r="H3"/>
  <c r="G3"/>
  <c r="F3"/>
  <c r="E3"/>
  <c r="D3"/>
  <c r="C3"/>
  <c r="B3"/>
  <c r="B1"/>
  <c r="C13" i="40"/>
  <c r="B13"/>
  <c r="H11"/>
  <c r="G11"/>
  <c r="F11"/>
  <c r="E11"/>
  <c r="D11"/>
  <c r="C11"/>
  <c r="B11"/>
  <c r="H9"/>
  <c r="G9"/>
  <c r="F9"/>
  <c r="E9"/>
  <c r="D9"/>
  <c r="C9"/>
  <c r="B9"/>
  <c r="H7"/>
  <c r="G7"/>
  <c r="F7"/>
  <c r="E7"/>
  <c r="D7"/>
  <c r="C7"/>
  <c r="B7"/>
  <c r="H5"/>
  <c r="G5"/>
  <c r="F5"/>
  <c r="E5"/>
  <c r="D5"/>
  <c r="C5"/>
  <c r="B5"/>
  <c r="H3"/>
  <c r="G3"/>
  <c r="F3"/>
  <c r="E3"/>
  <c r="D3"/>
  <c r="C3"/>
  <c r="B3"/>
  <c r="B1"/>
  <c r="C13" i="39"/>
  <c r="B13"/>
  <c r="H11"/>
  <c r="G11"/>
  <c r="F11"/>
  <c r="E11"/>
  <c r="D11"/>
  <c r="C11"/>
  <c r="B11"/>
  <c r="H9"/>
  <c r="G9"/>
  <c r="F9"/>
  <c r="E9"/>
  <c r="D9"/>
  <c r="C9"/>
  <c r="B9"/>
  <c r="H7"/>
  <c r="G7"/>
  <c r="F7"/>
  <c r="E7"/>
  <c r="D7"/>
  <c r="C7"/>
  <c r="B7"/>
  <c r="H5"/>
  <c r="G5"/>
  <c r="F5"/>
  <c r="E5"/>
  <c r="D5"/>
  <c r="C5"/>
  <c r="B5"/>
  <c r="H3"/>
  <c r="G3"/>
  <c r="F3"/>
  <c r="E3"/>
  <c r="D3"/>
  <c r="C3"/>
  <c r="B3"/>
  <c r="B1"/>
  <c r="C13" i="38"/>
  <c r="B13"/>
  <c r="H11"/>
  <c r="G11"/>
  <c r="F11"/>
  <c r="E11"/>
  <c r="D11"/>
  <c r="C11"/>
  <c r="B11"/>
  <c r="H9"/>
  <c r="G9"/>
  <c r="F9"/>
  <c r="E9"/>
  <c r="D9"/>
  <c r="C9"/>
  <c r="B9"/>
  <c r="H7"/>
  <c r="G7"/>
  <c r="F7"/>
  <c r="E7"/>
  <c r="D7"/>
  <c r="C7"/>
  <c r="B7"/>
  <c r="H5"/>
  <c r="G5"/>
  <c r="F5"/>
  <c r="E5"/>
  <c r="D5"/>
  <c r="C5"/>
  <c r="B5"/>
  <c r="H3"/>
  <c r="G3"/>
  <c r="F3"/>
  <c r="E3"/>
  <c r="D3"/>
  <c r="C3"/>
  <c r="B3"/>
  <c r="B1"/>
  <c r="C13" i="37"/>
  <c r="B13"/>
  <c r="H11"/>
  <c r="G11"/>
  <c r="F11"/>
  <c r="E11"/>
  <c r="D11"/>
  <c r="C11"/>
  <c r="B11"/>
  <c r="H9"/>
  <c r="E9"/>
  <c r="D9"/>
  <c r="C9"/>
  <c r="B9"/>
  <c r="H7"/>
  <c r="E7"/>
  <c r="D7"/>
  <c r="C7"/>
  <c r="H5"/>
  <c r="E5"/>
  <c r="D5"/>
  <c r="C5"/>
  <c r="H3"/>
  <c r="G3"/>
  <c r="F3"/>
  <c r="E3"/>
  <c r="B1"/>
  <c r="C11" i="14"/>
  <c r="B11"/>
  <c r="H9"/>
  <c r="G9"/>
  <c r="F9"/>
  <c r="E9"/>
  <c r="D9"/>
  <c r="C9"/>
  <c r="B9"/>
  <c r="H7"/>
  <c r="G7"/>
  <c r="F7"/>
  <c r="E7"/>
  <c r="D7"/>
  <c r="C7"/>
  <c r="B7"/>
  <c r="H5"/>
  <c r="G5"/>
  <c r="F5"/>
  <c r="E5"/>
  <c r="D5"/>
  <c r="C5"/>
  <c r="B5"/>
  <c r="E11"/>
  <c r="D11"/>
  <c r="F11"/>
  <c r="G11"/>
  <c r="H11"/>
  <c r="B13"/>
  <c r="C13"/>
  <c r="H3"/>
  <c r="G3"/>
  <c r="B3"/>
  <c r="C3"/>
  <c r="D3"/>
  <c r="F3"/>
  <c r="E3"/>
  <c r="B1"/>
</calcChain>
</file>

<file path=xl/comments1.xml><?xml version="1.0" encoding="utf-8"?>
<comments xmlns="http://schemas.openxmlformats.org/spreadsheetml/2006/main">
  <authors>
    <author xml:space="preserve">   </author>
  </authors>
  <commentList>
    <comment ref="L8" authorId="0">
      <text>
        <r>
          <rPr>
            <b/>
            <sz val="9"/>
            <color indexed="81"/>
            <rFont val="Geneva"/>
          </rPr>
          <t>Cuando hace clic en la celda con el año encima, aparece una lista emergente en la que puede seleccionar el año. Cuando realiza una selección, las hojas del calendario correspondientes a todos los meses de este libro se actualizan automáticamente.
Para cambiar los años disponibles en esa lista, consulte la hoja Lista de búsqueda.
Nota: el calendario se actualiza automáticamente a raíz de las fórmulas que existen en todas las celdas que muestran fechas así como en las que aparecen en blanco en las celdas de filas del calendario que contienen valores de fecha.  Si cambia manualmente el texto de esas celdas, el calendario ya no se podrá actualizar automáticamente.
No obstante, puede escribir texto en las celdas más altas que hay detrás de cada celda de fecha, como donde aparece escrito 'Texto de muestra' en la celda más alta disponible en este calendario.</t>
        </r>
      </text>
    </comment>
    <comment ref="J11" authorId="0">
      <text>
        <r>
          <rPr>
            <b/>
            <sz val="9"/>
            <color indexed="81"/>
            <rFont val="Geneva"/>
          </rPr>
          <t>Easily apply your own look to this calendar. Personalice fácilmente la apariencia de este calendario. El formato de esta plantilla se basa en temas que le permiten aplicar fuentes, colores y efectos de formato gráfico en todo el libro con tan solo un clic.
Busque temas en la ficha Inicio del grupo Temas. Seleccione entre docenas de temas predefinidos disponibles en la galería Temas o encuentre opciones para cambiar únicamente las fuentes o los colores del tema.</t>
        </r>
      </text>
    </comment>
  </commentList>
</comments>
</file>

<file path=xl/comments2.xml><?xml version="1.0" encoding="utf-8"?>
<comments xmlns="http://schemas.openxmlformats.org/spreadsheetml/2006/main">
  <authors>
    <author xml:space="preserve">   </author>
  </authors>
  <commentList>
    <comment ref="C4" authorId="0">
      <text>
        <r>
          <rPr>
            <b/>
            <sz val="9"/>
            <color indexed="81"/>
            <rFont val="Geneva"/>
          </rPr>
          <t>Esta lista rellena las opciones que aparecen en la lista desplegable de año de la hoja Enero. Para agregar años adicionales, comience a escribir en la celda situada directamente debajo de la última entrada existente y la lista se expandirá automáticamente.</t>
        </r>
      </text>
    </comment>
  </commentList>
</comments>
</file>

<file path=xl/sharedStrings.xml><?xml version="1.0" encoding="utf-8"?>
<sst xmlns="http://schemas.openxmlformats.org/spreadsheetml/2006/main" count="119" uniqueCount="39">
  <si>
    <t>Lunes</t>
  </si>
  <si>
    <t>Martes</t>
  </si>
  <si>
    <t>Miércoles</t>
  </si>
  <si>
    <t>Jueves</t>
  </si>
  <si>
    <t>Viernes</t>
  </si>
  <si>
    <t>Sábado</t>
  </si>
  <si>
    <t>Domingo</t>
  </si>
  <si>
    <t>Texto de muestra.</t>
  </si>
  <si>
    <t>Notas:</t>
  </si>
  <si>
    <t>Seleccionar año:</t>
  </si>
  <si>
    <t>Año</t>
  </si>
  <si>
    <r>
      <rPr>
        <b/>
        <sz val="10"/>
        <rFont val="Century Gothic"/>
      </rPr>
      <t>Rueda de prensa</t>
    </r>
    <r>
      <rPr>
        <sz val="10"/>
        <rFont val="Century Gothic"/>
        <family val="2"/>
      </rPr>
      <t xml:space="preserve">
Fundació Miró Mallorca.
Hora:11h00
Martin Castro, Director asociacion saxofón. Rodrigo Vila,Director  festival. Ramon Porter,  Director del consertorio.</t>
    </r>
  </si>
  <si>
    <r>
      <rPr>
        <b/>
        <sz val="10"/>
        <rFont val="Century Gothic"/>
      </rPr>
      <t>Taller  1 / Music, Yoga &amp; Saxophone</t>
    </r>
    <r>
      <rPr>
        <sz val="10"/>
        <rFont val="Century Gothic"/>
        <family val="2"/>
      </rPr>
      <t xml:space="preserve">
Taller de yoga para Músicos 1
Profesor: Raul Ramón
Localización:  Centro Ling Tai
Hora: 11h00-13h00</t>
    </r>
  </si>
  <si>
    <r>
      <rPr>
        <b/>
        <sz val="10"/>
        <color indexed="63"/>
        <rFont val="Century Gothic"/>
      </rPr>
      <t>Taller   3 / Music, Yoga &amp; Saxophone</t>
    </r>
    <r>
      <rPr>
        <sz val="10"/>
        <color indexed="63"/>
        <rFont val="Century Gothic"/>
      </rPr>
      <t xml:space="preserve">
Taller de yoga para Músicos 2
Profesor: Manuel Herrero
Localización: Centro Ling Tai 
Hora: 10h00-13h00</t>
    </r>
  </si>
  <si>
    <r>
      <rPr>
        <b/>
        <sz val="10"/>
        <color indexed="63"/>
        <rFont val="Century Gothic"/>
      </rPr>
      <t>Taller  4 / Music, Yoga &amp; Saxophone</t>
    </r>
    <r>
      <rPr>
        <sz val="10"/>
        <color indexed="63"/>
        <rFont val="Century Gothic"/>
      </rPr>
      <t xml:space="preserve">
Taller de yoga para Músicos 2
Profesor: Manuel Herrero
Localización: Centro Ling Tai
Hora: 10h00-13h00</t>
    </r>
  </si>
  <si>
    <r>
      <rPr>
        <b/>
        <sz val="10"/>
        <rFont val="Century Gothic"/>
      </rPr>
      <t>Conferencia 3/ Saxophone &amp; Composer Series</t>
    </r>
    <r>
      <rPr>
        <sz val="10"/>
        <rFont val="Century Gothic"/>
        <family val="2"/>
      </rPr>
      <t xml:space="preserve">
Localización: Conservatori Superior de Música de les Illes Balears; Aula por determinar
Ponente: Xavier Gelabert compositor.
Hora: 12h30-14h00</t>
    </r>
  </si>
  <si>
    <r>
      <rPr>
        <b/>
        <sz val="10"/>
        <rFont val="Century Gothic"/>
      </rPr>
      <t>Taller 11/ Iniciación al Jazz y Músicas Actuales</t>
    </r>
    <r>
      <rPr>
        <sz val="10"/>
        <rFont val="Century Gothic"/>
        <family val="2"/>
      </rPr>
      <t xml:space="preserve">
improvisacion</t>
    </r>
    <r>
      <rPr>
        <b/>
        <sz val="10"/>
        <rFont val="Century Gothic"/>
      </rPr>
      <t xml:space="preserve">
</t>
    </r>
    <r>
      <rPr>
        <sz val="10"/>
        <rFont val="Century Gothic"/>
        <family val="2"/>
      </rPr>
      <t xml:space="preserve">Localización: Conservatori Superior de Música de les Illes Balears
Profesor: Roberto Pacheco.
Hora: 9h00-12h00
</t>
    </r>
    <r>
      <rPr>
        <b/>
        <sz val="10"/>
        <rFont val="Century Gothic"/>
      </rPr>
      <t xml:space="preserve">
Conferencia 16</t>
    </r>
    <r>
      <rPr>
        <sz val="10"/>
        <rFont val="Century Gothic"/>
        <family val="2"/>
      </rPr>
      <t xml:space="preserve">
Localización: Conservatori Superior de Música de les Illes Balears
Ponente:Martin Trillaud/ Vandoren París.
Hora: 12h30-14h00
</t>
    </r>
  </si>
  <si>
    <r>
      <rPr>
        <b/>
        <sz val="10"/>
        <rFont val="Century Gothic"/>
      </rPr>
      <t xml:space="preserve">
Taller 13/ Iniciación al Jazz y Músicas Actuales
</t>
    </r>
    <r>
      <rPr>
        <sz val="10"/>
        <rFont val="Century Gothic"/>
        <family val="2"/>
      </rPr>
      <t>improvisacion
Localización: Conservatori Superior de Música de les Illes Balears
Profesor: Roberto Pacheco.
Hora: 9h00-12h00</t>
    </r>
    <r>
      <rPr>
        <b/>
        <sz val="10"/>
        <rFont val="Century Gothic"/>
      </rPr>
      <t xml:space="preserve">
Concierto 37 /  Iniciación al Jazz y Músicas Actuales
</t>
    </r>
    <r>
      <rPr>
        <sz val="10"/>
        <rFont val="Century Gothic"/>
        <family val="2"/>
      </rPr>
      <t>Localización: Conservatori Superior de Música de les Illes Balears
Intérpretes: Roberto Pacheco y Mallorca Saxophon Ensemble
Hora: 13h00-14h00</t>
    </r>
    <r>
      <rPr>
        <b/>
        <sz val="10"/>
        <rFont val="Century Gothic"/>
      </rPr>
      <t xml:space="preserve">
Concierto 38/  Iniciación al Jazz y Músicas Actuales</t>
    </r>
    <r>
      <rPr>
        <sz val="10"/>
        <rFont val="Century Gothic"/>
        <family val="2"/>
      </rPr>
      <t xml:space="preserve">
Localización: Hotel Saratoga
Intérpretes: Cesar López &amp; friends
Hora: 22h30-00h00
</t>
    </r>
  </si>
  <si>
    <r>
      <rPr>
        <b/>
        <sz val="10"/>
        <rFont val="Century Gothic"/>
      </rPr>
      <t xml:space="preserve">
Taller 12 /Iniciación al Jazz y Músicas Actuales
</t>
    </r>
    <r>
      <rPr>
        <sz val="10"/>
        <rFont val="Century Gothic"/>
        <family val="2"/>
      </rPr>
      <t>improvisacion
Localización: Conservatori Superior de Música de les Illes Balears
Profesor: Roberto Pacheco.
Hora: 9h00-12h00</t>
    </r>
    <r>
      <rPr>
        <b/>
        <sz val="10"/>
        <rFont val="Century Gothic"/>
      </rPr>
      <t xml:space="preserve">
Conferencia 17 / Jornadas de Gestión y Programación Musical
</t>
    </r>
    <r>
      <rPr>
        <sz val="10"/>
        <rFont val="Century Gothic"/>
        <family val="2"/>
      </rPr>
      <t>Localización: Conservatori Superior de Música de les Illes Balears
Ponente: Santiago Puime.
Hora: 12h30-14h00</t>
    </r>
    <r>
      <rPr>
        <b/>
        <sz val="10"/>
        <rFont val="Century Gothic"/>
      </rPr>
      <t xml:space="preserve">
Concierto 36 /Saxophone &amp; Electronics Series</t>
    </r>
    <r>
      <rPr>
        <sz val="10"/>
        <rFont val="Century Gothic"/>
        <family val="2"/>
      </rPr>
      <t xml:space="preserve">
Localización: Fundació Miró Mallorca.
Auditori
Intérprete: Pedro Bittencourt
Hora: 19h00-20h00
</t>
    </r>
  </si>
  <si>
    <r>
      <rPr>
        <b/>
        <sz val="10"/>
        <rFont val="Century Gothic"/>
      </rPr>
      <t xml:space="preserve">
Masterclass 6/7/8/9 Ciclo de Clases Magistrales
</t>
    </r>
    <r>
      <rPr>
        <sz val="10"/>
        <rFont val="Century Gothic"/>
        <family val="2"/>
      </rPr>
      <t>Localización: Conservatori Superior de Música de les Illes Balears
Aulas por determinar
Profesores:  Phil Pierick ,  Shyen Lee y Magdakena Jakubska. David Pons
Hora: 9h00-12h00</t>
    </r>
    <r>
      <rPr>
        <b/>
        <sz val="10"/>
        <rFont val="Century Gothic"/>
      </rPr>
      <t xml:space="preserve">
Conferencia 12 / Jornadas de Gestión y Programación Musical
</t>
    </r>
    <r>
      <rPr>
        <sz val="10"/>
        <rFont val="Century Gothic"/>
        <family val="2"/>
      </rPr>
      <t xml:space="preserve">Localización: Conservatori Superior de Música de les Illes Balears; aula por determinar.
Ponente: Miguel Ángel Marín
Hora: 12h30-14h00
</t>
    </r>
    <r>
      <rPr>
        <b/>
        <sz val="10"/>
        <rFont val="Century Gothic"/>
      </rPr>
      <t>Taller 8/ Iniciación al Jazz y Músicas Actuales</t>
    </r>
    <r>
      <rPr>
        <sz val="10"/>
        <rFont val="Century Gothic"/>
        <family val="2"/>
      </rPr>
      <t xml:space="preserve">
Localización: Conservatori Superior de Música de les Illes Balears
Ponente: Cesar López
Hora:16H00-17H30</t>
    </r>
    <r>
      <rPr>
        <b/>
        <sz val="10"/>
        <rFont val="Century Gothic"/>
      </rPr>
      <t xml:space="preserve">
Concierto 26</t>
    </r>
    <r>
      <rPr>
        <sz val="10"/>
        <rFont val="Century Gothic"/>
        <family val="2"/>
      </rPr>
      <t xml:space="preserve"> </t>
    </r>
    <r>
      <rPr>
        <b/>
        <sz val="10"/>
        <rFont val="Century Gothic"/>
      </rPr>
      <t>/Saxophone &amp; Electronics Series</t>
    </r>
    <r>
      <rPr>
        <sz val="10"/>
        <rFont val="Century Gothic"/>
        <family val="2"/>
      </rPr>
      <t xml:space="preserve">
Localización: Fundació Miró Mallorca.
Auditori
Intérpretes: Phil Pierick
Hora: 19h00-20h00
</t>
    </r>
    <r>
      <rPr>
        <b/>
        <sz val="10"/>
        <rFont val="Century Gothic"/>
      </rPr>
      <t>Concierto 27</t>
    </r>
    <r>
      <rPr>
        <sz val="10"/>
        <rFont val="Century Gothic"/>
        <family val="2"/>
      </rPr>
      <t xml:space="preserve"> /</t>
    </r>
    <r>
      <rPr>
        <b/>
        <sz val="10"/>
        <rFont val="Century Gothic"/>
      </rPr>
      <t xml:space="preserve"> Saxophone &amp; DJ’s Series</t>
    </r>
    <r>
      <rPr>
        <sz val="10"/>
        <rFont val="Century Gothic"/>
        <family val="2"/>
      </rPr>
      <t xml:space="preserve">
Localización: Mercado gastronómico de san Juan
Intérpretes: Pepe Link Dj + Ramón Riera, saxofón.
Hora: 21h30h-22h30
(dj de las 21h00 hasta las 00h00)
</t>
    </r>
  </si>
  <si>
    <r>
      <rPr>
        <b/>
        <sz val="10"/>
        <rFont val="Century Gothic"/>
      </rPr>
      <t xml:space="preserve">
Masterclass 5/ Ciclo de Clases Magistrales
</t>
    </r>
    <r>
      <rPr>
        <sz val="10"/>
        <rFont val="Century Gothic"/>
        <family val="2"/>
      </rPr>
      <t>Localización: Conservatori Superior de Música de les Illes Balears
Aula por determinar
Profesor:  Phil Pierick
Hora: 9h00-12h00</t>
    </r>
    <r>
      <rPr>
        <b/>
        <sz val="10"/>
        <rFont val="Century Gothic"/>
      </rPr>
      <t xml:space="preserve">
Conferencia 11 / Jornadas de Gestión y Programación Musical
</t>
    </r>
    <r>
      <rPr>
        <sz val="10"/>
        <rFont val="Century Gothic"/>
        <family val="2"/>
      </rPr>
      <t xml:space="preserve">Localización: Conservatori Superior de Música de les Illes Balears
Ponente:  Neus Ribas.
Hora: 12h30-14h00
</t>
    </r>
    <r>
      <rPr>
        <b/>
        <sz val="10"/>
        <rFont val="Century Gothic"/>
      </rPr>
      <t>Taller 7/ Iniciación al Jazz y Músicas Actuales</t>
    </r>
    <r>
      <rPr>
        <sz val="10"/>
        <rFont val="Century Gothic"/>
        <family val="2"/>
      </rPr>
      <t xml:space="preserve">
Localización: Conservatori Superior de Música de les Illes Balears
Ponente: Cesar López
Hora:16H00-17H30</t>
    </r>
    <r>
      <rPr>
        <b/>
        <sz val="10"/>
        <rFont val="Century Gothic"/>
      </rPr>
      <t xml:space="preserve">
Concierto 24 / Saxophone Quartet Series</t>
    </r>
    <r>
      <rPr>
        <sz val="10"/>
        <rFont val="Century Gothic"/>
        <family val="2"/>
      </rPr>
      <t xml:space="preserve">
Localización: Conservatori Superior de Música de les Illes Balears
Auditori
Intérpretes: Requiem Quartet
Hora: 19h00-20h00
</t>
    </r>
    <r>
      <rPr>
        <b/>
        <sz val="10"/>
        <rFont val="Century Gothic"/>
      </rPr>
      <t xml:space="preserve">Concierto 25/ Ciclo de Jóvenes Intérpretes
</t>
    </r>
    <r>
      <rPr>
        <sz val="10"/>
        <rFont val="Century Gothic"/>
        <family val="2"/>
      </rPr>
      <t xml:space="preserve">Localización: Conservatori Superior de Música de les Illes Balears
Auditori
Intérpretes: Tomás Alonso
&amp; Pau Fernandez Benlloch.
Hora: 20h30-21h30
</t>
    </r>
  </si>
  <si>
    <r>
      <rPr>
        <b/>
        <sz val="10"/>
        <rFont val="Century Gothic"/>
      </rPr>
      <t xml:space="preserve">Conferencia 10/Saxophone &amp; Composer Series
</t>
    </r>
    <r>
      <rPr>
        <sz val="10"/>
        <rFont val="Century Gothic"/>
        <family val="2"/>
      </rPr>
      <t>Localización: Conservatori Superior de Música de les Illes Balears
Ponente: Eduardo Soutullo, compositor.
Hora: 12h30-14h00</t>
    </r>
    <r>
      <rPr>
        <b/>
        <sz val="10"/>
        <rFont val="Century Gothic"/>
      </rPr>
      <t xml:space="preserve">
Concierto 23</t>
    </r>
    <r>
      <rPr>
        <sz val="10"/>
        <rFont val="Century Gothic"/>
        <family val="2"/>
      </rPr>
      <t xml:space="preserve"> </t>
    </r>
    <r>
      <rPr>
        <b/>
        <sz val="10"/>
        <rFont val="Century Gothic"/>
      </rPr>
      <t>/ Ciclo de Jóvenes Intérpretes</t>
    </r>
    <r>
      <rPr>
        <sz val="10"/>
        <rFont val="Century Gothic"/>
        <family val="2"/>
      </rPr>
      <t xml:space="preserve">
Localización: Colegio de Arquitectos de les Illes Balears
Patio
Intérpretes: The Free Blue Experience.
Hora: 17h00-18h00
</t>
    </r>
  </si>
  <si>
    <r>
      <rPr>
        <b/>
        <sz val="10"/>
        <rFont val="Century Gothic"/>
      </rPr>
      <t>Concierto 22</t>
    </r>
    <r>
      <rPr>
        <sz val="10"/>
        <rFont val="Century Gothic"/>
        <family val="2"/>
      </rPr>
      <t xml:space="preserve"> / </t>
    </r>
    <r>
      <rPr>
        <b/>
        <sz val="10"/>
        <rFont val="Century Gothic"/>
      </rPr>
      <t>Saxophone Quartet Series</t>
    </r>
    <r>
      <rPr>
        <sz val="10"/>
        <rFont val="Century Gothic"/>
        <family val="2"/>
      </rPr>
      <t xml:space="preserve">
Localización:  Colegio de Arquitectos de les Illes Balears
Patio
Intérpretes: Aurora Quartet
Hora: 17h00-18h00
</t>
    </r>
  </si>
  <si>
    <r>
      <rPr>
        <b/>
        <sz val="10"/>
        <color indexed="63"/>
        <rFont val="Century Gothic"/>
      </rPr>
      <t xml:space="preserve">
Masterclass 3/ Ciclo de Clases Magistrales
</t>
    </r>
    <r>
      <rPr>
        <sz val="10"/>
        <color indexed="63"/>
        <rFont val="Century Gothic"/>
      </rPr>
      <t>Localización: Conservatori Superior de Música de les Illes Balears
Aula por determinar
Profesor:  Tong Yang
Hora: 9h00-12h00</t>
    </r>
    <r>
      <rPr>
        <b/>
        <sz val="10"/>
        <color indexed="63"/>
        <rFont val="Century Gothic"/>
      </rPr>
      <t xml:space="preserve">
Conferencia 8/Saxophone &amp; Composer Series</t>
    </r>
    <r>
      <rPr>
        <sz val="10"/>
        <color indexed="63"/>
        <rFont val="Century Gothic"/>
      </rPr>
      <t xml:space="preserve">
Localización: Conservatori Superior de Música de les Illes Balears
Ponente: Marc García Vitoria, compositor.
Hora: 12h30-14h00
</t>
    </r>
    <r>
      <rPr>
        <b/>
        <sz val="10"/>
        <color indexed="63"/>
        <rFont val="Century Gothic"/>
      </rPr>
      <t>Concierto 16/Artistic &amp; Pedagogical Exchanges</t>
    </r>
    <r>
      <rPr>
        <sz val="10"/>
        <color indexed="63"/>
        <rFont val="Century Gothic"/>
      </rPr>
      <t xml:space="preserve">
Localización: Conservatori Superior de Música de les Illes Balears
Auditori
Intérpretes:  Mallorca Saxophone Ensemble. Lasr Mlekusch, director.
Hora: 19h00-19h45
</t>
    </r>
    <r>
      <rPr>
        <b/>
        <sz val="10"/>
        <color indexed="63"/>
        <rFont val="Century Gothic"/>
      </rPr>
      <t xml:space="preserve">Concierto 17/Artistic &amp; Pedagogical Exchanges
</t>
    </r>
    <r>
      <rPr>
        <sz val="10"/>
        <color indexed="63"/>
        <rFont val="Century Gothic"/>
      </rPr>
      <t xml:space="preserve">Localización: Conservatori Superior de Música de les Illes Balears
Auditori
Intérpretes: Zurich Saxophone Collective. Lasr Mlekusch, director.
Hora: 20h00-20h45
</t>
    </r>
    <r>
      <rPr>
        <b/>
        <sz val="10"/>
        <color indexed="63"/>
        <rFont val="Century Gothic"/>
      </rPr>
      <t xml:space="preserve">
Concierto 18/Artistic &amp; Pedagogical Exchanges</t>
    </r>
    <r>
      <rPr>
        <sz val="10"/>
        <color indexed="63"/>
        <rFont val="Century Gothic"/>
      </rPr>
      <t xml:space="preserve">
Localización: Conservatori Superior de Música de les Illes Balears
Auditori
Intérpretes: Zurich Saxophone Collective &amp; Mallorca Saxophone Ensemble. Lasr Mlekusch, director.
Hora:21h00-21h45
</t>
    </r>
  </si>
  <si>
    <r>
      <rPr>
        <b/>
        <sz val="10"/>
        <rFont val="Century Gothic"/>
      </rPr>
      <t>Conferencia 7/Saxophone &amp; Composer Series</t>
    </r>
    <r>
      <rPr>
        <sz val="10"/>
        <rFont val="Century Gothic"/>
        <family val="2"/>
      </rPr>
      <t xml:space="preserve">
Localización: Conservatori Superior de Música de les Illes Balears
Ponente: Ángel Faraldo, compositor.
Hora: 12h30-14h00
</t>
    </r>
    <r>
      <rPr>
        <b/>
        <sz val="10"/>
        <rFont val="Century Gothic"/>
      </rPr>
      <t>Concierto 14/Artistic &amp; Pedagogical Exchanges</t>
    </r>
    <r>
      <rPr>
        <sz val="10"/>
        <rFont val="Century Gothic"/>
        <family val="2"/>
      </rPr>
      <t xml:space="preserve">
Localización: Conservatori Superior de Música de les Illes Balears
Auditori
Intérpretes: Banda Municipal de Música de Palma. Dirección: Juan M. Romero.
Emiliano Barri, saxofón solista
Hora: 19h30-21h00
</t>
    </r>
    <r>
      <rPr>
        <b/>
        <sz val="10"/>
        <rFont val="Century Gothic"/>
      </rPr>
      <t>Concierto 15</t>
    </r>
    <r>
      <rPr>
        <sz val="10"/>
        <rFont val="Century Gothic"/>
        <family val="2"/>
      </rPr>
      <t xml:space="preserve"> / </t>
    </r>
    <r>
      <rPr>
        <b/>
        <sz val="10"/>
        <rFont val="Century Gothic"/>
      </rPr>
      <t>Saxophone &amp; DJ’s Series</t>
    </r>
    <r>
      <rPr>
        <sz val="10"/>
        <rFont val="Century Gothic"/>
        <family val="2"/>
      </rPr>
      <t xml:space="preserve">
Localización: Mercado gastronómico de san Juan
Intérpretes: Pepe Link Dj + J.J. González, saxofón.
Hora: 21h30h-22h30
(dj de las 21h00 hasta las 00h00)
</t>
    </r>
  </si>
  <si>
    <r>
      <rPr>
        <b/>
        <sz val="10"/>
        <rFont val="Century Gothic"/>
      </rPr>
      <t>Conferencia 6/Saxophone &amp; Composer Series</t>
    </r>
    <r>
      <rPr>
        <sz val="10"/>
        <rFont val="Century Gothic"/>
        <family val="2"/>
      </rPr>
      <t xml:space="preserve">
Localización: Conservatori Superior de Música de les Illes Balears;
Aula por determinar
Ponente: Ryo Noda, compositor.
Hora: 12h30-14h00
</t>
    </r>
    <r>
      <rPr>
        <b/>
        <sz val="10"/>
        <rFont val="Century Gothic"/>
      </rPr>
      <t>Concierto 13/ World Saxophone Series</t>
    </r>
    <r>
      <rPr>
        <sz val="10"/>
        <rFont val="Century Gothic"/>
        <family val="2"/>
      </rPr>
      <t xml:space="preserve">
Localización: Fundació Miró Mallorca.
Auditori
Intérpretes: Ryo Noda &amp; Rodrigo Vila
Hora: 19h00-20h00
</t>
    </r>
  </si>
  <si>
    <r>
      <rPr>
        <b/>
        <sz val="10"/>
        <rFont val="Century Gothic"/>
      </rPr>
      <t>Conferencia 5/Saxophone &amp; Composer Series</t>
    </r>
    <r>
      <rPr>
        <sz val="10"/>
        <rFont val="Century Gothic"/>
        <family val="2"/>
      </rPr>
      <t xml:space="preserve">
Localización: Conservatori Superior de Música de les Illes Balears;Aula por determinar
Ponente: Octavi Rumbau, compositor.
Hora: 12h30-14h00
</t>
    </r>
    <r>
      <rPr>
        <b/>
        <sz val="10"/>
        <rFont val="Century Gothic"/>
      </rPr>
      <t>Concierto 12</t>
    </r>
    <r>
      <rPr>
        <sz val="10"/>
        <rFont val="Century Gothic"/>
        <family val="2"/>
      </rPr>
      <t xml:space="preserve"> / </t>
    </r>
    <r>
      <rPr>
        <b/>
        <sz val="10"/>
        <rFont val="Century Gothic"/>
      </rPr>
      <t>Saxophone Quartet Series</t>
    </r>
    <r>
      <rPr>
        <sz val="10"/>
        <rFont val="Century Gothic"/>
        <family val="2"/>
      </rPr>
      <t xml:space="preserve">
Localización: Colegio de Arquitectos de les Illes Balears
Patio
Intérpretes: Mixtion Quartet
Hora: 17h00-18h00
</t>
    </r>
  </si>
  <si>
    <r>
      <rPr>
        <b/>
        <sz val="10"/>
        <rFont val="Century Gothic"/>
      </rPr>
      <t>Conferencia 4/Saxophone &amp; Composer Series</t>
    </r>
    <r>
      <rPr>
        <sz val="10"/>
        <rFont val="Century Gothic"/>
        <family val="2"/>
      </rPr>
      <t xml:space="preserve">
</t>
    </r>
    <r>
      <rPr>
        <i/>
        <sz val="10"/>
        <rFont val="Century Gothic"/>
      </rPr>
      <t>Localización:</t>
    </r>
    <r>
      <rPr>
        <sz val="10"/>
        <rFont val="Century Gothic"/>
        <family val="2"/>
      </rPr>
      <t xml:space="preserve"> Conservatori Superior de Música de les Illes Balears; Aula por determinar
Ponente: Mateu Malondra, compositor.
Hora: 12h30-14h00
</t>
    </r>
    <r>
      <rPr>
        <b/>
        <sz val="10"/>
        <rFont val="Century Gothic"/>
      </rPr>
      <t>Concierto 11</t>
    </r>
    <r>
      <rPr>
        <sz val="10"/>
        <rFont val="Century Gothic"/>
        <family val="2"/>
      </rPr>
      <t xml:space="preserve"> / </t>
    </r>
    <r>
      <rPr>
        <b/>
        <sz val="10"/>
        <rFont val="Century Gothic"/>
      </rPr>
      <t>Saxophone Quartet Series</t>
    </r>
    <r>
      <rPr>
        <sz val="10"/>
        <rFont val="Century Gothic"/>
        <family val="2"/>
      </rPr>
      <t xml:space="preserve">
Localización: Colegio de Arquitectos de les Illes Balears
Patio
Intérpretes: Psaiko Quartet
Hora: 17h00-18h00
</t>
    </r>
  </si>
  <si>
    <r>
      <rPr>
        <b/>
        <sz val="10"/>
        <rFont val="Century Gothic"/>
      </rPr>
      <t>Concierto 1/ World Saxophone Series</t>
    </r>
    <r>
      <rPr>
        <sz val="10"/>
        <rFont val="Century Gothic"/>
        <family val="2"/>
      </rPr>
      <t xml:space="preserve">
Localización: Fundació Miró;
Auditori  
Intérpretes: David Brutti &amp; Rodrigo Vila. 
Hora: 19h00-20h00</t>
    </r>
  </si>
  <si>
    <r>
      <rPr>
        <b/>
        <sz val="10"/>
        <rFont val="Century Gothic"/>
      </rPr>
      <t>Taller  2 /Music, Yoga &amp; Saxophone</t>
    </r>
    <r>
      <rPr>
        <sz val="10"/>
        <rFont val="Century Gothic"/>
        <family val="2"/>
      </rPr>
      <t xml:space="preserve">
Taller de yoga para Músicos 1
Profesor: El rincon de sol, Marisol Sanchez
Localización: Centro Ling Tai
Hora: 11h30-13h00
</t>
    </r>
    <r>
      <rPr>
        <b/>
        <sz val="10"/>
        <rFont val="Century Gothic"/>
      </rPr>
      <t>Concierto  2  / Saxophone &amp; DJ’s Series</t>
    </r>
    <r>
      <rPr>
        <sz val="10"/>
        <rFont val="Century Gothic"/>
        <family val="2"/>
      </rPr>
      <t xml:space="preserve">
Localización: Mercado gastronómico de san Juan
Intérpretes: Kiko Navarro Dj +  Roquesax, saxofón.
Hora: 21h30h-22h30
(dj de las 21h00 hasta las 00h00)
</t>
    </r>
  </si>
  <si>
    <r>
      <rPr>
        <b/>
        <sz val="10"/>
        <rFont val="Century Gothic"/>
      </rPr>
      <t xml:space="preserve">Masterclass 1/ Ciclo de Clases Magistrales
</t>
    </r>
    <r>
      <rPr>
        <sz val="10"/>
        <rFont val="Century Gothic"/>
        <family val="2"/>
      </rPr>
      <t>Localización: Conservatori Superior de Música de les Illes Balears
Aula por determinar
Profesor:  Gordan Tudor
Hora: 9h00-12h00</t>
    </r>
    <r>
      <rPr>
        <b/>
        <sz val="10"/>
        <rFont val="Century Gothic"/>
      </rPr>
      <t xml:space="preserve">
Concierto 3/Saxophone &amp; Electronics Series
</t>
    </r>
    <r>
      <rPr>
        <sz val="10"/>
        <rFont val="Century Gothic"/>
        <family val="2"/>
      </rPr>
      <t xml:space="preserve">
</t>
    </r>
    <r>
      <rPr>
        <i/>
        <sz val="10"/>
        <rFont val="Century Gothic"/>
      </rPr>
      <t>Localización:</t>
    </r>
    <r>
      <rPr>
        <sz val="10"/>
        <rFont val="Century Gothic"/>
        <family val="2"/>
      </rPr>
      <t xml:space="preserve"> Fundació Miró Mallorca.
Auditori
</t>
    </r>
    <r>
      <rPr>
        <i/>
        <sz val="10"/>
        <rFont val="Century Gothic"/>
      </rPr>
      <t>Intérprete:</t>
    </r>
    <r>
      <rPr>
        <sz val="10"/>
        <rFont val="Century Gothic"/>
        <family val="2"/>
      </rPr>
      <t xml:space="preserve"> Gordan Tudor
</t>
    </r>
    <r>
      <rPr>
        <i/>
        <sz val="10"/>
        <rFont val="Century Gothic"/>
      </rPr>
      <t>Hora: 19h00-20h00</t>
    </r>
    <r>
      <rPr>
        <sz val="10"/>
        <rFont val="Century Gothic"/>
        <family val="2"/>
      </rPr>
      <t xml:space="preserve">
</t>
    </r>
  </si>
  <si>
    <r>
      <rPr>
        <b/>
        <sz val="10"/>
        <rFont val="Century Gothic"/>
      </rPr>
      <t xml:space="preserve">Masterclass 2/ Ciclo de Clases Magistrales
</t>
    </r>
    <r>
      <rPr>
        <sz val="10"/>
        <rFont val="Century Gothic"/>
        <family val="2"/>
      </rPr>
      <t>Localización: Conservatori Superior de Música de les Illes Balears
Aula por determinar
Profesor:  Gordan Tudor
Hora: 8h00-15h00</t>
    </r>
    <r>
      <rPr>
        <b/>
        <sz val="10"/>
        <rFont val="Century Gothic"/>
      </rPr>
      <t xml:space="preserve">
Concierto 4</t>
    </r>
    <r>
      <rPr>
        <sz val="10"/>
        <rFont val="Century Gothic"/>
        <family val="2"/>
      </rPr>
      <t xml:space="preserve"> /</t>
    </r>
    <r>
      <rPr>
        <b/>
        <sz val="10"/>
        <rFont val="Century Gothic"/>
      </rPr>
      <t xml:space="preserve"> Ciclo de Jóvenes Intérpretes</t>
    </r>
    <r>
      <rPr>
        <sz val="10"/>
        <rFont val="Century Gothic"/>
        <family val="2"/>
      </rPr>
      <t xml:space="preserve">
</t>
    </r>
    <r>
      <rPr>
        <i/>
        <sz val="10"/>
        <rFont val="Century Gothic"/>
      </rPr>
      <t>Localización:</t>
    </r>
    <r>
      <rPr>
        <sz val="10"/>
        <rFont val="Century Gothic"/>
        <family val="2"/>
      </rPr>
      <t xml:space="preserve"> Conservatori Superior de Música de les Illes Balears
Auditori
Intérpretes: Simone Geda &amp; Neus Estarellas
</t>
    </r>
    <r>
      <rPr>
        <i/>
        <sz val="10"/>
        <rFont val="Century Gothic"/>
      </rPr>
      <t>Hora:</t>
    </r>
    <r>
      <rPr>
        <sz val="10"/>
        <rFont val="Century Gothic"/>
        <family val="2"/>
      </rPr>
      <t xml:space="preserve"> 19h00-20h00</t>
    </r>
    <r>
      <rPr>
        <i/>
        <sz val="10"/>
        <rFont val="Century Gothic"/>
      </rPr>
      <t xml:space="preserve">
</t>
    </r>
    <r>
      <rPr>
        <sz val="10"/>
        <rFont val="Century Gothic"/>
        <family val="2"/>
      </rPr>
      <t xml:space="preserve">
</t>
    </r>
    <r>
      <rPr>
        <b/>
        <sz val="10"/>
        <rFont val="Century Gothic"/>
      </rPr>
      <t>Concierto 5</t>
    </r>
    <r>
      <rPr>
        <sz val="10"/>
        <rFont val="Century Gothic"/>
        <family val="2"/>
      </rPr>
      <t xml:space="preserve"> /</t>
    </r>
    <r>
      <rPr>
        <b/>
        <sz val="10"/>
        <rFont val="Century Gothic"/>
      </rPr>
      <t xml:space="preserve"> Ciclo de Jóvenes Intérpretes</t>
    </r>
    <r>
      <rPr>
        <sz val="10"/>
        <rFont val="Century Gothic"/>
        <family val="2"/>
      </rPr>
      <t xml:space="preserve">
</t>
    </r>
    <r>
      <rPr>
        <i/>
        <sz val="10"/>
        <rFont val="Century Gothic"/>
      </rPr>
      <t>Localización</t>
    </r>
    <r>
      <rPr>
        <sz val="10"/>
        <rFont val="Century Gothic"/>
        <family val="2"/>
      </rPr>
      <t xml:space="preserve">: Conservatori Superior de Música de les Illes Balears
Auditori
</t>
    </r>
    <r>
      <rPr>
        <i/>
        <sz val="10"/>
        <rFont val="Century Gothic"/>
      </rPr>
      <t>Intérpretes:</t>
    </r>
    <r>
      <rPr>
        <sz val="10"/>
        <rFont val="Century Gothic"/>
        <family val="2"/>
      </rPr>
      <t xml:space="preserve"> Isaac Verdú &amp; Neus Estarellas
</t>
    </r>
    <r>
      <rPr>
        <i/>
        <sz val="10"/>
        <rFont val="Century Gothic"/>
      </rPr>
      <t>Hora: 20h30-21h30</t>
    </r>
    <r>
      <rPr>
        <sz val="10"/>
        <rFont val="Century Gothic"/>
        <family val="2"/>
      </rPr>
      <t xml:space="preserve">
</t>
    </r>
  </si>
  <si>
    <r>
      <rPr>
        <b/>
        <sz val="10"/>
        <rFont val="Century Gothic"/>
      </rPr>
      <t>Concierto 6/ World Saxophone Series</t>
    </r>
    <r>
      <rPr>
        <sz val="10"/>
        <rFont val="Century Gothic"/>
        <family val="2"/>
      </rPr>
      <t xml:space="preserve">
</t>
    </r>
    <r>
      <rPr>
        <i/>
        <sz val="10"/>
        <rFont val="Century Gothic"/>
      </rPr>
      <t>Localización: Conservatori Superior de Música de les Illes Balears
Auditori</t>
    </r>
    <r>
      <rPr>
        <sz val="10"/>
        <rFont val="Century Gothic"/>
        <family val="2"/>
      </rPr>
      <t xml:space="preserve">
Intérpretes: Beatriz Tirado y Rodrigo Vila
</t>
    </r>
    <r>
      <rPr>
        <i/>
        <sz val="10"/>
        <rFont val="Century Gothic"/>
      </rPr>
      <t>Hora: 20h00-21h00</t>
    </r>
    <r>
      <rPr>
        <sz val="10"/>
        <rFont val="Century Gothic"/>
        <family val="2"/>
      </rPr>
      <t xml:space="preserve">
</t>
    </r>
  </si>
  <si>
    <r>
      <rPr>
        <b/>
        <sz val="10"/>
        <rFont val="Century Gothic"/>
      </rPr>
      <t xml:space="preserve">Concierto 7 </t>
    </r>
    <r>
      <rPr>
        <sz val="10"/>
        <rFont val="Century Gothic"/>
        <family val="2"/>
      </rPr>
      <t xml:space="preserve">/ </t>
    </r>
    <r>
      <rPr>
        <b/>
        <sz val="10"/>
        <rFont val="Century Gothic"/>
      </rPr>
      <t>Saxophone &amp; DJ’s Series</t>
    </r>
    <r>
      <rPr>
        <sz val="10"/>
        <rFont val="Century Gothic"/>
        <family val="2"/>
      </rPr>
      <t xml:space="preserve">
Localización: Mercado gastronómico de san Juan
Intérpretes: Pepe Link Dj + Clyde Hernandez, saxofón.
Hora: 21h30h-22h30
(dj de las 21h00 hasta las 00h00)</t>
    </r>
    <r>
      <rPr>
        <i/>
        <sz val="10"/>
        <rFont val="Century Gothic"/>
      </rPr>
      <t xml:space="preserve">
</t>
    </r>
    <r>
      <rPr>
        <sz val="10"/>
        <rFont val="Century Gothic"/>
        <family val="2"/>
      </rPr>
      <t xml:space="preserve">
</t>
    </r>
  </si>
  <si>
    <r>
      <rPr>
        <b/>
        <sz val="10"/>
        <color indexed="63"/>
        <rFont val="Century Gothic"/>
      </rPr>
      <t xml:space="preserve">Taller 5
</t>
    </r>
    <r>
      <rPr>
        <sz val="10"/>
        <color indexed="63"/>
        <rFont val="Century Gothic"/>
      </rPr>
      <t>Taller Lutheria
Profesor: Diego González
Localización: Conservatori Superior de Música de les Illes Balears
aula a determinar
Hora: 10h00-12h00</t>
    </r>
    <r>
      <rPr>
        <b/>
        <sz val="10"/>
        <color indexed="63"/>
        <rFont val="Century Gothic"/>
      </rPr>
      <t xml:space="preserve">
Conferencia 1/ Saxophone &amp; Composer Series</t>
    </r>
    <r>
      <rPr>
        <sz val="10"/>
        <color indexed="63"/>
        <rFont val="Century Gothic"/>
      </rPr>
      <t xml:space="preserve">
</t>
    </r>
    <r>
      <rPr>
        <i/>
        <sz val="10"/>
        <color indexed="63"/>
        <rFont val="Century Gothic"/>
      </rPr>
      <t>Localización:</t>
    </r>
    <r>
      <rPr>
        <sz val="10"/>
        <color indexed="63"/>
        <rFont val="Century Gothic"/>
      </rPr>
      <t xml:space="preserve"> Conservatori Superior de Música de les Illes Balears
</t>
    </r>
    <r>
      <rPr>
        <i/>
        <sz val="10"/>
        <color indexed="63"/>
        <rFont val="Century Gothic"/>
      </rPr>
      <t>Ponente:</t>
    </r>
    <r>
      <rPr>
        <sz val="10"/>
        <color indexed="63"/>
        <rFont val="Century Gothic"/>
      </rPr>
      <t xml:space="preserve"> Ramón Lazkano, compositor.
</t>
    </r>
    <r>
      <rPr>
        <i/>
        <sz val="10"/>
        <color indexed="63"/>
        <rFont val="Century Gothic"/>
      </rPr>
      <t>Hora: 12h30-14h00</t>
    </r>
    <r>
      <rPr>
        <sz val="10"/>
        <color indexed="63"/>
        <rFont val="Century Gothic"/>
      </rPr>
      <t xml:space="preserve">
</t>
    </r>
    <r>
      <rPr>
        <b/>
        <sz val="10"/>
        <color indexed="63"/>
        <rFont val="Century Gothic"/>
      </rPr>
      <t>Concierto 8</t>
    </r>
    <r>
      <rPr>
        <sz val="10"/>
        <color indexed="63"/>
        <rFont val="Century Gothic"/>
      </rPr>
      <t xml:space="preserve"> /</t>
    </r>
    <r>
      <rPr>
        <b/>
        <sz val="10"/>
        <color indexed="63"/>
        <rFont val="Century Gothic"/>
      </rPr>
      <t xml:space="preserve"> Saxophone Quartet Series</t>
    </r>
    <r>
      <rPr>
        <sz val="10"/>
        <color indexed="63"/>
        <rFont val="Century Gothic"/>
      </rPr>
      <t xml:space="preserve">
</t>
    </r>
    <r>
      <rPr>
        <i/>
        <sz val="10"/>
        <color indexed="63"/>
        <rFont val="Century Gothic"/>
      </rPr>
      <t>Localización</t>
    </r>
    <r>
      <rPr>
        <sz val="10"/>
        <color indexed="63"/>
        <rFont val="Century Gothic"/>
      </rPr>
      <t xml:space="preserve">: Conservatori Superior de Música de les Illes Balears
Auditori
Intérpretes: Psaiko Quartet
</t>
    </r>
    <r>
      <rPr>
        <i/>
        <sz val="10"/>
        <color indexed="63"/>
        <rFont val="Century Gothic"/>
      </rPr>
      <t>Hora: 20h00-21h00</t>
    </r>
    <r>
      <rPr>
        <sz val="10"/>
        <color indexed="63"/>
        <rFont val="Century Gothic"/>
      </rPr>
      <t xml:space="preserve">
</t>
    </r>
  </si>
  <si>
    <r>
      <rPr>
        <sz val="10"/>
        <color indexed="63"/>
        <rFont val="Century Gothic (Cuerpo)"/>
      </rPr>
      <t xml:space="preserve">Masterclass 4/ Ciclo de Clases Magistrales
Localización: Conservatori Superior de Música de les Illes Balears
Aula por determinar
Profesor:  Tong Yang
Hora: 9h00-12h00
Conferencia 9/Saxophone &amp; Composer Series
Localización: Conservatori Superior de Música de les Illes Balears
Aula por determinar
Ponente: Joan Bagés, compositor.
Hora: 12h30-14h00
</t>
    </r>
    <r>
      <rPr>
        <b/>
        <sz val="10"/>
        <color indexed="63"/>
        <rFont val="Century Gothic (Cuerpo)"/>
      </rPr>
      <t xml:space="preserve">
</t>
    </r>
    <r>
      <rPr>
        <sz val="10"/>
        <color indexed="63"/>
        <rFont val="Century Gothic (Cuerpo)"/>
      </rPr>
      <t>Concierto 19/Artistic &amp; Pedagogical Exchanges
Localización: Conservatori Superior de Música de les Illes Balears
Auditori
Intérpretes: Zurich Saxophone Collective
Hora: 18h00-19h00
Concierto 20/World Saxophone Series
Localización:  Conservatori Superior de Música de les Illes Balears
Auditori
Intérpretes: Tong Yang &amp; Joan-Ramón Company
Hora: 19h30-20h00
Concierto 21/Saxophone &amp; Electronics Series
Localización: Conservatori Superior de Música de les Illes Balears
Auditori
Intérpretes: Colectivo Placa Base 
Hora: 20h30-21h30</t>
    </r>
    <r>
      <rPr>
        <sz val="10"/>
        <color indexed="63"/>
        <rFont val="Century Gothic"/>
      </rPr>
      <t xml:space="preserve">
</t>
    </r>
  </si>
  <si>
    <r>
      <rPr>
        <b/>
        <sz val="5"/>
        <color indexed="63"/>
        <rFont val="Century Gothic"/>
      </rPr>
      <t xml:space="preserve">Masterclass 10/11/12/13/14/15/16/17/18/19/20 /Ciclo de Clases Magistrales
</t>
    </r>
    <r>
      <rPr>
        <sz val="5"/>
        <color indexed="63"/>
        <rFont val="Century Gothic"/>
      </rPr>
      <t xml:space="preserve">Localización: Conservatori Superior de Música de les Illes Balears
Aulas por determinar
Profesores:  Shyen Lee, Jakubska. Antonio Felipe, George Pruksavanich, Guillermo Presa. Antonio García Jorge,Antonin Pommel, Jonathan Radfor, Martin Trillaud,Don Paul Khal, Pedro Bittencourt.
Hora: 9h00-12h00
</t>
    </r>
    <r>
      <rPr>
        <b/>
        <sz val="5"/>
        <color indexed="63"/>
        <rFont val="Century Gothic"/>
      </rPr>
      <t>Conferencia 13/Saxophone &amp; Composer Series</t>
    </r>
    <r>
      <rPr>
        <sz val="5"/>
        <color indexed="63"/>
        <rFont val="Century Gothic"/>
      </rPr>
      <t xml:space="preserve">
Localización: Conservatori Superior de Música de les Illes Balears
Ponente: Isandro Ojeda García, compositor.
Hora: 10h00-11h00
</t>
    </r>
    <r>
      <rPr>
        <b/>
        <sz val="5"/>
        <color indexed="63"/>
        <rFont val="Century Gothic"/>
      </rPr>
      <t>Conferencia 14 / Jornadas de Gestión y Programación Musical</t>
    </r>
    <r>
      <rPr>
        <sz val="5"/>
        <color indexed="63"/>
        <rFont val="Century Gothic"/>
      </rPr>
      <t xml:space="preserve">
Localización: Conservatori Superior de Música de les Illes Balears; aula por determinar.
Ponente: Carlos Magán.
Hora: 12h30-14h00
</t>
    </r>
    <r>
      <rPr>
        <b/>
        <sz val="5"/>
        <color indexed="63"/>
        <rFont val="Century Gothic"/>
      </rPr>
      <t>Taller 9/ Iniciación al Jazz y Músicas Actuales</t>
    </r>
    <r>
      <rPr>
        <sz val="5"/>
        <color indexed="63"/>
        <rFont val="Century Gothic"/>
      </rPr>
      <t xml:space="preserve">
Localización: Conservatori Superior de Música de les Illes Balears
Ponente: Cesar López
Hora:14h30-15h30
</t>
    </r>
    <r>
      <rPr>
        <b/>
        <sz val="5"/>
        <color indexed="63"/>
        <rFont val="Century Gothic"/>
      </rPr>
      <t>Concierto 28/Artistic &amp; Pedagogical Exchanges</t>
    </r>
    <r>
      <rPr>
        <sz val="5"/>
        <color indexed="63"/>
        <rFont val="Century Gothic"/>
      </rPr>
      <t xml:space="preserve">
Localización: Conservatori Superior de Música de les Illes Balears
Auditori
Intérpretes: Alumnos de Saxofón del Conservatorio Superior de Música de Castilla La Mancha
Hora:  16h00-16h45</t>
    </r>
    <r>
      <rPr>
        <b/>
        <sz val="5"/>
        <color indexed="63"/>
        <rFont val="Century Gothic"/>
      </rPr>
      <t xml:space="preserve">
Concierto 29/World Saxophone Series</t>
    </r>
    <r>
      <rPr>
        <sz val="5"/>
        <color indexed="63"/>
        <rFont val="Century Gothic"/>
      </rPr>
      <t xml:space="preserve">
Localización: Conservatori Superior de Música de les Illes Balears
Auditori
Intérpretes: Wisuwat Pruksavanich, Guillermo Presa y Tipwatoo Aramwittaya: Bun -Leng trio
Hora:  17h00-17h45
</t>
    </r>
    <r>
      <rPr>
        <b/>
        <sz val="5"/>
        <color indexed="63"/>
        <rFont val="Century Gothic"/>
      </rPr>
      <t>Concierto 30/World Saxophone Series</t>
    </r>
    <r>
      <rPr>
        <sz val="5"/>
        <color indexed="63"/>
        <rFont val="Century Gothic"/>
      </rPr>
      <t xml:space="preserve">
Localización: Conservatori Superior de Música de les Illes Balears
Auditori
IIntérpretes: Shyen Lee &amp; Magdakena Jakubska, Antonio Felipe Belijar, David Pons, Antonio García Jorge.
Hora:  18h30-19h30
</t>
    </r>
    <r>
      <rPr>
        <b/>
        <sz val="5"/>
        <color indexed="63"/>
        <rFont val="Century Gothic"/>
      </rPr>
      <t>Concierto 31/Artistic &amp; Pedagogical Exchanges</t>
    </r>
    <r>
      <rPr>
        <sz val="5"/>
        <color indexed="63"/>
        <rFont val="Century Gothic"/>
      </rPr>
      <t xml:space="preserve">
Localización: Conservatori Superior de Música de les Illes Balears
Auditori
Intérpretes: Ensemble de Saxofones del Conservatorio Superior de Música de Castilla La Mancha
Antonio Felipe &amp; David Pons, saxofones  solistas
Hora:  20h00-21h00
</t>
    </r>
    <r>
      <rPr>
        <b/>
        <sz val="5"/>
        <color indexed="63"/>
        <rFont val="Century Gothic"/>
      </rPr>
      <t>Concierto 32/Saxophone Quartet Series</t>
    </r>
    <r>
      <rPr>
        <sz val="5"/>
        <color indexed="63"/>
        <rFont val="Century Gothic"/>
      </rPr>
      <t xml:space="preserve">
Localización: Conservatori Superior de Música de les Illes Balears
Auditori
Intérpretes: Ensemble du Bout du Monde
Hora: 21h30-22h30
</t>
    </r>
  </si>
  <si>
    <r>
      <rPr>
        <b/>
        <sz val="10"/>
        <color indexed="63"/>
        <rFont val="Century Gothic"/>
      </rPr>
      <t xml:space="preserve">
Masterclass 21/22/23/24/25/26/27 / Ciclo de Clases Magistrales
</t>
    </r>
    <r>
      <rPr>
        <sz val="10"/>
        <color indexed="63"/>
        <rFont val="Century Gothic"/>
      </rPr>
      <t xml:space="preserve">Localización: Conservatori Superior de Música de les Illes Balears
Aula por determinar
Profesores:  David Pons,Pedro Bitencourt,Joaquin Saez,David Brutti, Kay Zhang, Noa Mick, Quentin Darricau.
Hora: 9h00-12h00
</t>
    </r>
    <r>
      <rPr>
        <b/>
        <sz val="10"/>
        <color indexed="63"/>
        <rFont val="Century Gothic"/>
      </rPr>
      <t>Conferencia 15/Saxophone &amp; Electronics Series</t>
    </r>
    <r>
      <rPr>
        <sz val="10"/>
        <color indexed="63"/>
        <rFont val="Century Gothic"/>
      </rPr>
      <t xml:space="preserve">
Localización: Conservatori Superior de Música de les Illes Balears
Ponente: Pedro Bittencourt.
Hora: 12h30-14h00
</t>
    </r>
    <r>
      <rPr>
        <b/>
        <sz val="10"/>
        <color indexed="63"/>
        <rFont val="Century Gothic"/>
      </rPr>
      <t>Taller 10/ Iniciación al Jazz y Músicas Actuales</t>
    </r>
    <r>
      <rPr>
        <sz val="10"/>
        <color indexed="63"/>
        <rFont val="Century Gothic"/>
      </rPr>
      <t xml:space="preserve">
Localización: Conservatori Superior de Música de les Illes Balears
Ponente: Cesar López
Hora:16h00-17h30
</t>
    </r>
    <r>
      <rPr>
        <b/>
        <sz val="10"/>
        <color indexed="63"/>
        <rFont val="Century Gothic"/>
      </rPr>
      <t>Concierto 33/ World Saxophone Series</t>
    </r>
    <r>
      <rPr>
        <sz val="10"/>
        <color indexed="63"/>
        <rFont val="Century Gothic"/>
      </rPr>
      <t xml:space="preserve">
Localización: Conservatori Superior de Música de les Illes Balears
Auditori
Intérpretes: Joaquín Sáez &amp; Natalia Lentas
Hora:  18h00-19h00</t>
    </r>
    <r>
      <rPr>
        <b/>
        <sz val="10"/>
        <color indexed="63"/>
        <rFont val="Century Gothic"/>
      </rPr>
      <t xml:space="preserve">
Concierto 34/ Saxophone Quartet Series</t>
    </r>
    <r>
      <rPr>
        <sz val="10"/>
        <color indexed="63"/>
        <rFont val="Century Gothic"/>
      </rPr>
      <t xml:space="preserve">
Localización: Conservatori Superior de Música de les Illes Balears
Auditori
Intérpretes: Yendo Quartet
Hora:  19h30-20h30
</t>
    </r>
    <r>
      <rPr>
        <b/>
        <sz val="10"/>
        <color indexed="63"/>
        <rFont val="Century Gothic"/>
      </rPr>
      <t>Concierto 35/ Iniciación al Jazz y Músicas Actuales</t>
    </r>
    <r>
      <rPr>
        <sz val="10"/>
        <color indexed="63"/>
        <rFont val="Century Gothic"/>
      </rPr>
      <t xml:space="preserve">
Localización: Conservatori Superior de Música de les Illes Balears
Auditori
Intérpretes:  Cesar López y Mallorca Saxophone Ensemble.
Hora:  21h00-22h00
</t>
    </r>
  </si>
  <si>
    <r>
      <rPr>
        <b/>
        <sz val="10"/>
        <color indexed="63"/>
        <rFont val="Century Gothic"/>
      </rPr>
      <t xml:space="preserve">Taller 6
</t>
    </r>
    <r>
      <rPr>
        <sz val="10"/>
        <color indexed="63"/>
        <rFont val="Century Gothic"/>
      </rPr>
      <t>Taller Lutheria
Profesor: Diego González
Localización: Conservatori Superior de Música de les Illes Balears
aula a determinar
Hora: 10h00-12h00</t>
    </r>
    <r>
      <rPr>
        <b/>
        <sz val="10"/>
        <color indexed="63"/>
        <rFont val="Century Gothic"/>
      </rPr>
      <t xml:space="preserve">
Conferencia 2/Saxophone &amp; Composer Series</t>
    </r>
    <r>
      <rPr>
        <sz val="10"/>
        <color indexed="63"/>
        <rFont val="Century Gothic"/>
      </rPr>
      <t xml:space="preserve">
</t>
    </r>
    <r>
      <rPr>
        <i/>
        <sz val="10"/>
        <color indexed="63"/>
        <rFont val="Century Gothic"/>
      </rPr>
      <t>Localización:</t>
    </r>
    <r>
      <rPr>
        <sz val="10"/>
        <color indexed="63"/>
        <rFont val="Century Gothic"/>
      </rPr>
      <t xml:space="preserve"> Conservatori Superior de Música de les Illes Balears
Ponente: Simone Movio, compositor.
Hora: 12h30-14h00
</t>
    </r>
    <r>
      <rPr>
        <b/>
        <sz val="10"/>
        <color indexed="63"/>
        <rFont val="Century Gothic"/>
      </rPr>
      <t>Concierto 9</t>
    </r>
    <r>
      <rPr>
        <sz val="10"/>
        <color indexed="63"/>
        <rFont val="Century Gothic"/>
      </rPr>
      <t xml:space="preserve"> </t>
    </r>
    <r>
      <rPr>
        <b/>
        <sz val="10"/>
        <color indexed="63"/>
        <rFont val="Century Gothic"/>
      </rPr>
      <t>/ Ciclo de Jóvenes Intérpretes</t>
    </r>
    <r>
      <rPr>
        <sz val="10"/>
        <color indexed="63"/>
        <rFont val="Century Gothic"/>
      </rPr>
      <t xml:space="preserve">
</t>
    </r>
    <r>
      <rPr>
        <i/>
        <sz val="10"/>
        <color indexed="63"/>
        <rFont val="Century Gothic"/>
      </rPr>
      <t>Localización:</t>
    </r>
    <r>
      <rPr>
        <sz val="10"/>
        <color indexed="63"/>
        <rFont val="Century Gothic"/>
      </rPr>
      <t xml:space="preserve"> Conservatori Superior de Música de les Illes Balears
Auditori
Intérprete: Pablo de la Fuente 
Hora:19h00-20h00
</t>
    </r>
    <r>
      <rPr>
        <b/>
        <sz val="10"/>
        <color indexed="63"/>
        <rFont val="Century Gothic"/>
      </rPr>
      <t>Concierto 10</t>
    </r>
    <r>
      <rPr>
        <sz val="10"/>
        <color indexed="63"/>
        <rFont val="Century Gothic"/>
      </rPr>
      <t xml:space="preserve"> </t>
    </r>
    <r>
      <rPr>
        <b/>
        <sz val="10"/>
        <color indexed="63"/>
        <rFont val="Century Gothic"/>
      </rPr>
      <t>/ Ciclo de Jóvenes Intérpretes</t>
    </r>
    <r>
      <rPr>
        <sz val="10"/>
        <color indexed="63"/>
        <rFont val="Century Gothic"/>
      </rPr>
      <t xml:space="preserve">
Intérpretes
</t>
    </r>
    <r>
      <rPr>
        <i/>
        <sz val="10"/>
        <color indexed="63"/>
        <rFont val="Century Gothic"/>
      </rPr>
      <t>Localización:</t>
    </r>
    <r>
      <rPr>
        <sz val="10"/>
        <color indexed="63"/>
        <rFont val="Century Gothic"/>
      </rPr>
      <t xml:space="preserve"> Conservatori Superior de Música de les Illes Balears
Auditori
Interpretes: Pablo Goterris
Hora: 20h30-21h30
</t>
    </r>
  </si>
</sst>
</file>

<file path=xl/styles.xml><?xml version="1.0" encoding="utf-8"?>
<styleSheet xmlns="http://schemas.openxmlformats.org/spreadsheetml/2006/main">
  <numFmts count="2">
    <numFmt numFmtId="164" formatCode="mmmm\ yyyy"/>
    <numFmt numFmtId="165" formatCode="d"/>
  </numFmts>
  <fonts count="21">
    <font>
      <sz val="11"/>
      <name val="Century Gothic"/>
      <family val="2"/>
    </font>
    <font>
      <sz val="8"/>
      <name val="Arial"/>
      <family val="2"/>
    </font>
    <font>
      <sz val="10"/>
      <name val="Century Gothic"/>
      <family val="2"/>
    </font>
    <font>
      <sz val="10"/>
      <name val="Arial"/>
      <family val="2"/>
    </font>
    <font>
      <sz val="10"/>
      <name val="Century Gothic"/>
      <family val="2"/>
    </font>
    <font>
      <b/>
      <sz val="9"/>
      <color indexed="81"/>
      <name val="Geneva"/>
    </font>
    <font>
      <sz val="10"/>
      <color indexed="63"/>
      <name val="Century Gothic"/>
    </font>
    <font>
      <sz val="8"/>
      <name val="Century Gothic"/>
      <family val="2"/>
    </font>
    <font>
      <sz val="14"/>
      <color indexed="63"/>
      <name val="Century Gothic"/>
      <family val="2"/>
    </font>
    <font>
      <sz val="11"/>
      <name val="Arial"/>
      <family val="2"/>
    </font>
    <font>
      <b/>
      <sz val="10"/>
      <name val="Century Gothic"/>
    </font>
    <font>
      <b/>
      <sz val="10"/>
      <color indexed="63"/>
      <name val="Century Gothic"/>
    </font>
    <font>
      <i/>
      <sz val="10"/>
      <name val="Century Gothic"/>
    </font>
    <font>
      <i/>
      <sz val="10"/>
      <color indexed="63"/>
      <name val="Century Gothic"/>
    </font>
    <font>
      <b/>
      <sz val="10"/>
      <color indexed="63"/>
      <name val="Century Gothic (Cuerpo)"/>
    </font>
    <font>
      <sz val="10"/>
      <color indexed="63"/>
      <name val="Century Gothic (Cuerpo)"/>
    </font>
    <font>
      <sz val="5"/>
      <color indexed="63"/>
      <name val="Century Gothic"/>
    </font>
    <font>
      <b/>
      <sz val="5"/>
      <color indexed="63"/>
      <name val="Century Gothic"/>
    </font>
    <font>
      <b/>
      <sz val="11"/>
      <color theme="0"/>
      <name val="Century Gothic"/>
      <family val="2"/>
    </font>
    <font>
      <b/>
      <sz val="14"/>
      <color theme="0"/>
      <name val="Century Gothic"/>
      <family val="2"/>
    </font>
    <font>
      <b/>
      <sz val="28"/>
      <color theme="1" tint="0.34998626667073579"/>
      <name val="Century Gothic"/>
      <family val="2"/>
    </font>
  </fonts>
  <fills count="6">
    <fill>
      <patternFill patternType="none"/>
    </fill>
    <fill>
      <patternFill patternType="gray125"/>
    </fill>
    <fill>
      <patternFill patternType="solid">
        <fgColor indexed="9"/>
        <bgColor indexed="64"/>
      </patternFill>
    </fill>
    <fill>
      <patternFill patternType="solid">
        <fgColor theme="4" tint="0.59999389629810485"/>
        <bgColor indexed="65"/>
      </patternFill>
    </fill>
    <fill>
      <patternFill patternType="solid">
        <fgColor theme="4"/>
      </patternFill>
    </fill>
    <fill>
      <patternFill patternType="solid">
        <fgColor theme="8"/>
      </patternFill>
    </fill>
  </fills>
  <borders count="20">
    <border>
      <left/>
      <right/>
      <top/>
      <bottom/>
      <diagonal/>
    </border>
    <border>
      <left style="thin">
        <color indexed="55"/>
      </left>
      <right style="thin">
        <color indexed="55"/>
      </right>
      <top style="thin">
        <color indexed="55"/>
      </top>
      <bottom style="thin">
        <color indexed="55"/>
      </bottom>
      <diagonal/>
    </border>
    <border>
      <left style="medium">
        <color indexed="57"/>
      </left>
      <right style="thin">
        <color indexed="55"/>
      </right>
      <top style="medium">
        <color indexed="57"/>
      </top>
      <bottom/>
      <diagonal/>
    </border>
    <border>
      <left style="thin">
        <color indexed="55"/>
      </left>
      <right style="thin">
        <color indexed="55"/>
      </right>
      <top style="medium">
        <color indexed="57"/>
      </top>
      <bottom/>
      <diagonal/>
    </border>
    <border>
      <left style="thin">
        <color indexed="55"/>
      </left>
      <right style="medium">
        <color indexed="57"/>
      </right>
      <top style="medium">
        <color indexed="57"/>
      </top>
      <bottom/>
      <diagonal/>
    </border>
    <border>
      <left style="medium">
        <color indexed="57"/>
      </left>
      <right style="thin">
        <color indexed="55"/>
      </right>
      <top style="thin">
        <color indexed="55"/>
      </top>
      <bottom style="thin">
        <color indexed="55"/>
      </bottom>
      <diagonal/>
    </border>
    <border>
      <left style="thin">
        <color indexed="55"/>
      </left>
      <right style="medium">
        <color indexed="57"/>
      </right>
      <top style="thin">
        <color indexed="55"/>
      </top>
      <bottom style="thin">
        <color indexed="55"/>
      </bottom>
      <diagonal/>
    </border>
    <border>
      <left style="thin">
        <color indexed="55"/>
      </left>
      <right style="thin">
        <color indexed="55"/>
      </right>
      <top style="thin">
        <color indexed="55"/>
      </top>
      <bottom style="medium">
        <color indexed="57"/>
      </bottom>
      <diagonal/>
    </border>
    <border>
      <left style="medium">
        <color indexed="57"/>
      </left>
      <right style="thin">
        <color indexed="55"/>
      </right>
      <top style="thin">
        <color indexed="55"/>
      </top>
      <bottom style="medium">
        <color indexed="57"/>
      </bottom>
      <diagonal/>
    </border>
    <border>
      <left style="medium">
        <color indexed="57"/>
      </left>
      <right/>
      <top style="medium">
        <color indexed="57"/>
      </top>
      <bottom style="medium">
        <color indexed="57"/>
      </bottom>
      <diagonal/>
    </border>
    <border>
      <left/>
      <right style="medium">
        <color indexed="57"/>
      </right>
      <top style="medium">
        <color indexed="57"/>
      </top>
      <bottom style="medium">
        <color indexed="57"/>
      </bottom>
      <diagonal/>
    </border>
    <border>
      <left style="thin">
        <color indexed="55"/>
      </left>
      <right/>
      <top style="thin">
        <color indexed="55"/>
      </top>
      <bottom style="medium">
        <color indexed="57"/>
      </bottom>
      <diagonal/>
    </border>
    <border>
      <left/>
      <right/>
      <top style="thin">
        <color indexed="55"/>
      </top>
      <bottom style="medium">
        <color indexed="57"/>
      </bottom>
      <diagonal/>
    </border>
    <border>
      <left/>
      <right style="medium">
        <color indexed="57"/>
      </right>
      <top style="thin">
        <color indexed="55"/>
      </top>
      <bottom style="medium">
        <color indexed="57"/>
      </bottom>
      <diagonal/>
    </border>
    <border>
      <left style="thin">
        <color indexed="55"/>
      </left>
      <right style="thin">
        <color indexed="55"/>
      </right>
      <top/>
      <bottom style="thin">
        <color indexed="55"/>
      </bottom>
      <diagonal/>
    </border>
    <border>
      <left style="thin">
        <color indexed="55"/>
      </left>
      <right style="medium">
        <color indexed="57"/>
      </right>
      <top/>
      <bottom style="thin">
        <color indexed="55"/>
      </bottom>
      <diagonal/>
    </border>
    <border>
      <left/>
      <right style="thin">
        <color indexed="55"/>
      </right>
      <top style="thin">
        <color indexed="55"/>
      </top>
      <bottom style="medium">
        <color indexed="57"/>
      </bottom>
      <diagonal/>
    </border>
    <border>
      <left style="thin">
        <color indexed="55"/>
      </left>
      <right style="medium">
        <color indexed="57"/>
      </right>
      <top style="thin">
        <color indexed="55"/>
      </top>
      <bottom style="medium">
        <color indexed="57"/>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ck">
        <color theme="1" tint="0.499984740745262"/>
      </left>
      <right style="thick">
        <color theme="1" tint="0.499984740745262"/>
      </right>
      <top style="thick">
        <color theme="1" tint="0.499984740745262"/>
      </top>
      <bottom style="thick">
        <color theme="1" tint="0.499984740745262"/>
      </bottom>
      <diagonal/>
    </border>
  </borders>
  <cellStyleXfs count="5">
    <xf numFmtId="0" fontId="0" fillId="0" borderId="0"/>
    <xf numFmtId="0" fontId="6" fillId="3" borderId="0" applyNumberFormat="0" applyBorder="0" applyAlignment="0" applyProtection="0"/>
    <xf numFmtId="0" fontId="18" fillId="4" borderId="18" applyNumberFormat="0" applyAlignment="0" applyProtection="0"/>
    <xf numFmtId="0" fontId="19" fillId="5" borderId="19" applyNumberFormat="0" applyProtection="0">
      <alignment vertical="center"/>
    </xf>
    <xf numFmtId="0" fontId="20" fillId="0" borderId="0" applyNumberFormat="0" applyFill="0" applyAlignment="0" applyProtection="0"/>
  </cellStyleXfs>
  <cellXfs count="34">
    <xf numFmtId="0" fontId="0" fillId="0" borderId="0" xfId="0"/>
    <xf numFmtId="0" fontId="0" fillId="2" borderId="0" xfId="0" applyFill="1"/>
    <xf numFmtId="0" fontId="2" fillId="2" borderId="0" xfId="0" applyFont="1" applyFill="1"/>
    <xf numFmtId="0" fontId="2" fillId="0" borderId="0" xfId="0" applyFont="1"/>
    <xf numFmtId="0" fontId="3" fillId="0" borderId="0" xfId="0" applyFont="1"/>
    <xf numFmtId="0" fontId="0" fillId="0" borderId="0" xfId="0" applyFill="1"/>
    <xf numFmtId="165" fontId="0" fillId="0" borderId="1" xfId="0" applyNumberFormat="1"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18" fillId="4" borderId="2" xfId="2" applyBorder="1" applyAlignment="1">
      <alignment horizontal="center" vertical="center"/>
    </xf>
    <xf numFmtId="0" fontId="18" fillId="4" borderId="3" xfId="2" applyBorder="1" applyAlignment="1">
      <alignment horizontal="center" vertical="center"/>
    </xf>
    <xf numFmtId="0" fontId="18" fillId="4" borderId="4" xfId="2" applyBorder="1" applyAlignment="1">
      <alignment horizontal="center" vertical="center"/>
    </xf>
    <xf numFmtId="165" fontId="0" fillId="0" borderId="5" xfId="0" applyNumberFormat="1" applyFont="1" applyFill="1" applyBorder="1" applyAlignment="1">
      <alignment horizontal="left" vertical="center" wrapText="1" indent="1"/>
    </xf>
    <xf numFmtId="165" fontId="0" fillId="0" borderId="6" xfId="0" applyNumberFormat="1"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5" xfId="0" applyFont="1" applyFill="1" applyBorder="1" applyAlignment="1">
      <alignment horizontal="left" vertical="center" wrapText="1" indent="1"/>
    </xf>
    <xf numFmtId="0" fontId="6" fillId="3" borderId="1" xfId="1" applyBorder="1" applyAlignment="1">
      <alignment horizontal="left" vertical="center" wrapText="1" indent="1"/>
    </xf>
    <xf numFmtId="0" fontId="6" fillId="3" borderId="6" xfId="1" applyBorder="1" applyAlignment="1">
      <alignment horizontal="left" vertical="center" wrapText="1" indent="1"/>
    </xf>
    <xf numFmtId="0" fontId="4" fillId="0" borderId="8" xfId="0" applyFont="1" applyFill="1" applyBorder="1" applyAlignment="1">
      <alignment horizontal="left" vertical="center" wrapText="1" indent="1"/>
    </xf>
    <xf numFmtId="0" fontId="8" fillId="3" borderId="9" xfId="1" applyFont="1" applyBorder="1" applyAlignment="1">
      <alignment horizontal="right" vertical="center" wrapText="1"/>
    </xf>
    <xf numFmtId="0" fontId="8" fillId="3" borderId="10" xfId="1" applyFont="1" applyBorder="1" applyAlignment="1">
      <alignment vertical="center"/>
    </xf>
    <xf numFmtId="0" fontId="9" fillId="0" borderId="0" xfId="0" applyFont="1"/>
    <xf numFmtId="0" fontId="6" fillId="3" borderId="6" xfId="1" applyFont="1" applyBorder="1" applyAlignment="1">
      <alignment horizontal="left" vertical="center" wrapText="1" indent="1"/>
    </xf>
    <xf numFmtId="0" fontId="6" fillId="3" borderId="1" xfId="1" applyFont="1" applyBorder="1" applyAlignment="1">
      <alignment horizontal="left" vertical="center" wrapText="1" indent="1"/>
    </xf>
    <xf numFmtId="0" fontId="16" fillId="3" borderId="1" xfId="1" applyFont="1" applyBorder="1" applyAlignment="1">
      <alignment horizontal="left" vertical="center" wrapText="1" indent="1"/>
    </xf>
    <xf numFmtId="164" fontId="20" fillId="2" borderId="0" xfId="4" applyNumberFormat="1" applyFill="1" applyAlignment="1">
      <alignment horizontal="center" vertical="center"/>
    </xf>
    <xf numFmtId="0" fontId="18" fillId="4" borderId="11" xfId="2" applyBorder="1" applyAlignment="1">
      <alignment horizontal="left" vertical="center" wrapText="1"/>
    </xf>
    <xf numFmtId="0" fontId="18" fillId="4" borderId="12" xfId="2" applyBorder="1" applyAlignment="1">
      <alignment horizontal="left" vertical="center" wrapText="1"/>
    </xf>
    <xf numFmtId="0" fontId="18" fillId="4" borderId="13" xfId="2" applyBorder="1" applyAlignment="1">
      <alignment horizontal="left" vertical="center" wrapText="1"/>
    </xf>
    <xf numFmtId="165" fontId="18" fillId="4" borderId="14" xfId="2" applyNumberFormat="1" applyBorder="1" applyAlignment="1">
      <alignment horizontal="left" vertical="center" wrapText="1"/>
    </xf>
    <xf numFmtId="165" fontId="18" fillId="4" borderId="15" xfId="2" applyNumberFormat="1" applyBorder="1" applyAlignment="1">
      <alignment horizontal="left" vertical="center" wrapText="1"/>
    </xf>
    <xf numFmtId="0" fontId="18" fillId="4" borderId="16" xfId="2" applyBorder="1" applyAlignment="1">
      <alignment horizontal="center" vertical="center" wrapText="1"/>
    </xf>
    <xf numFmtId="0" fontId="18" fillId="4" borderId="7" xfId="2" applyBorder="1" applyAlignment="1">
      <alignment horizontal="center" vertical="center" wrapText="1"/>
    </xf>
    <xf numFmtId="0" fontId="18" fillId="4" borderId="17" xfId="2" applyBorder="1" applyAlignment="1">
      <alignment horizontal="center" vertical="center" wrapText="1"/>
    </xf>
  </cellXfs>
  <cellStyles count="5">
    <cellStyle name="40% - Énfasis1" xfId="1" builtinId="31" customBuiltin="1"/>
    <cellStyle name="Énfasis1" xfId="2" builtinId="29" customBuiltin="1"/>
    <cellStyle name="Énfasis5" xfId="3" builtinId="45" customBuiltin="1"/>
    <cellStyle name="Normal" xfId="0" builtinId="0" customBuiltin="1"/>
    <cellStyle name="Título 1" xfId="4" builtinId="16" customBuiltin="1"/>
  </cellStyles>
  <dxfs count="3">
    <dxf>
      <font>
        <b val="0"/>
        <i val="0"/>
        <strike val="0"/>
        <condense val="0"/>
        <extend val="0"/>
        <outline val="0"/>
        <shadow val="0"/>
        <u val="none"/>
        <vertAlign val="baseline"/>
        <sz val="11"/>
        <color auto="1"/>
        <name val="Arial"/>
        <scheme val="none"/>
      </font>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1F2F5"/>
      <rgbColor rgb="00008080"/>
      <rgbColor rgb="00E4EAF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4265"/>
      <rgbColor rgb="00CCFFCC"/>
      <rgbColor rgb="00FFEECD"/>
      <rgbColor rgb="00D0D8E2"/>
      <rgbColor rgb="00FF99CC"/>
      <rgbColor rgb="00CC99FF"/>
      <rgbColor rgb="00FFCC99"/>
      <rgbColor rgb="003366FF"/>
      <rgbColor rgb="0033CCCC"/>
      <rgbColor rgb="0099CC00"/>
      <rgbColor rgb="00FFCC00"/>
      <rgbColor rgb="00FF9900"/>
      <rgbColor rgb="00FF6600"/>
      <rgbColor rgb="00717789"/>
      <rgbColor rgb="00969696"/>
      <rgbColor rgb="00003366"/>
      <rgbColor rgb="00339966"/>
      <rgbColor rgb="00003300"/>
      <rgbColor rgb="00333300"/>
      <rgbColor rgb="00993300"/>
      <rgbColor rgb="00993366"/>
      <rgbColor rgb="00333399"/>
      <rgbColor rgb="004B4B4B"/>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id="1" name="YearLookup" displayName="YearLookup" ref="A1:A12" totalsRowShown="0" headerRowDxfId="0" dataDxfId="1">
  <autoFilter ref="A1:A12"/>
  <tableColumns count="1">
    <tableColumn id="1" name="Año" dataDxfId="2"/>
  </tableColumns>
  <tableStyleInfo name="TableStyleLight2"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pothecary">
  <a:themeElements>
    <a:clrScheme name="Apothecary">
      <a:dk1>
        <a:sysClr val="windowText" lastClr="000000"/>
      </a:dk1>
      <a:lt1>
        <a:sysClr val="window" lastClr="FFFFFF"/>
      </a:lt1>
      <a:dk2>
        <a:srgbClr val="564B3C"/>
      </a:dk2>
      <a:lt2>
        <a:srgbClr val="ECEDD1"/>
      </a:lt2>
      <a:accent1>
        <a:srgbClr val="93A299"/>
      </a:accent1>
      <a:accent2>
        <a:srgbClr val="CF543F"/>
      </a:accent2>
      <a:accent3>
        <a:srgbClr val="B5AE53"/>
      </a:accent3>
      <a:accent4>
        <a:srgbClr val="848058"/>
      </a:accent4>
      <a:accent5>
        <a:srgbClr val="E8B54D"/>
      </a:accent5>
      <a:accent6>
        <a:srgbClr val="786C71"/>
      </a:accent6>
      <a:hlink>
        <a:srgbClr val="CCCC00"/>
      </a:hlink>
      <a:folHlink>
        <a:srgbClr val="B2B2B2"/>
      </a:folHlink>
    </a:clrScheme>
    <a:fontScheme name="Calendar">
      <a:majorFont>
        <a:latin typeface="Century Gothic"/>
        <a:ea typeface=""/>
        <a:cs typeface=""/>
      </a:majorFont>
      <a:minorFont>
        <a:latin typeface="Century Gothic"/>
        <a:ea typeface=""/>
        <a:cs typeface=""/>
      </a:minorFont>
    </a:fontScheme>
    <a:fmtScheme name="Apothecary">
      <a:fillStyleLst>
        <a:solidFill>
          <a:schemeClr val="phClr"/>
        </a:solidFill>
        <a:gradFill rotWithShape="1">
          <a:gsLst>
            <a:gs pos="0">
              <a:schemeClr val="phClr">
                <a:tint val="1000"/>
                <a:satMod val="100000"/>
              </a:schemeClr>
            </a:gs>
            <a:gs pos="68000">
              <a:schemeClr val="phClr">
                <a:tint val="77000"/>
                <a:satMod val="100000"/>
              </a:schemeClr>
            </a:gs>
            <a:gs pos="81000">
              <a:schemeClr val="phClr">
                <a:tint val="79000"/>
                <a:satMod val="100000"/>
              </a:schemeClr>
            </a:gs>
            <a:gs pos="86000">
              <a:schemeClr val="phClr">
                <a:tint val="73000"/>
                <a:satMod val="100000"/>
              </a:schemeClr>
            </a:gs>
            <a:gs pos="100000">
              <a:schemeClr val="phClr">
                <a:tint val="35000"/>
                <a:satMod val="100000"/>
              </a:schemeClr>
            </a:gs>
          </a:gsLst>
          <a:lin ang="5400000" scaled="0"/>
        </a:gradFill>
        <a:gradFill rotWithShape="1">
          <a:gsLst>
            <a:gs pos="0">
              <a:schemeClr val="phClr">
                <a:tint val="73000"/>
                <a:shade val="100000"/>
                <a:satMod val="150000"/>
              </a:schemeClr>
            </a:gs>
            <a:gs pos="25000">
              <a:schemeClr val="phClr">
                <a:tint val="96000"/>
                <a:shade val="80000"/>
                <a:satMod val="105000"/>
              </a:schemeClr>
            </a:gs>
            <a:gs pos="38000">
              <a:schemeClr val="phClr">
                <a:tint val="96000"/>
                <a:shade val="59000"/>
                <a:satMod val="120000"/>
              </a:schemeClr>
            </a:gs>
            <a:gs pos="55000">
              <a:schemeClr val="phClr">
                <a:tint val="100000"/>
                <a:shade val="57000"/>
                <a:satMod val="120000"/>
              </a:schemeClr>
            </a:gs>
            <a:gs pos="80000">
              <a:schemeClr val="phClr">
                <a:tint val="100000"/>
                <a:shade val="56000"/>
                <a:satMod val="145000"/>
              </a:schemeClr>
            </a:gs>
            <a:gs pos="88000">
              <a:schemeClr val="phClr">
                <a:tint val="100000"/>
                <a:shade val="63000"/>
                <a:satMod val="160000"/>
              </a:schemeClr>
            </a:gs>
            <a:gs pos="100000">
              <a:schemeClr val="phClr">
                <a:tint val="99000"/>
                <a:shade val="100000"/>
                <a:satMod val="155000"/>
              </a:schemeClr>
            </a:gs>
          </a:gsLst>
          <a:lin ang="54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scene3d>
            <a:camera prst="orthographicFront">
              <a:rot lat="0" lon="0" rev="0"/>
            </a:camera>
            <a:lightRig rig="glow" dir="tl">
              <a:rot lat="0" lon="0" rev="1800000"/>
            </a:lightRig>
          </a:scene3d>
          <a:sp3d contourW="10160" prstMaterial="dkEdge">
            <a:bevelT w="0" h="0" prst="angle"/>
            <a:contourClr>
              <a:schemeClr val="phClr">
                <a:shade val="30000"/>
                <a:satMod val="150000"/>
              </a:schemeClr>
            </a:contourClr>
          </a:sp3d>
        </a:effectStyle>
        <a:effectStyle>
          <a:effectLst>
            <a:glow rad="50800">
              <a:schemeClr val="phClr">
                <a:tint val="68000"/>
                <a:shade val="93000"/>
                <a:alpha val="37000"/>
                <a:satMod val="250000"/>
              </a:schemeClr>
            </a:glow>
          </a:effectLst>
          <a:scene3d>
            <a:camera prst="orthographicFront">
              <a:rot lat="0" lon="0" rev="0"/>
            </a:camera>
            <a:lightRig rig="glow" dir="t">
              <a:rot lat="0" lon="0" rev="1800000"/>
            </a:lightRig>
          </a:scene3d>
          <a:sp3d contourW="10160" prstMaterial="dkEdge">
            <a:bevelT w="20320" h="19050" prst="angle"/>
            <a:contourClr>
              <a:schemeClr val="phClr">
                <a:shade val="30000"/>
                <a:satMod val="150000"/>
              </a:schemeClr>
            </a:contourClr>
          </a:sp3d>
        </a:effectStyle>
      </a:effectStyleLst>
      <a:bgFillStyleLst>
        <a:solidFill>
          <a:schemeClr val="phClr"/>
        </a:solidFill>
        <a:solidFill>
          <a:schemeClr val="phClr">
            <a:tint val="93000"/>
            <a:satMod val="140000"/>
          </a:schemeClr>
        </a:solidFill>
        <a:blipFill rotWithShape="1">
          <a:blip xmlns:r="http://schemas.openxmlformats.org/officeDocument/2006/relationships" r:embed="rId1">
            <a:duotone>
              <a:schemeClr val="phClr">
                <a:tint val="70000"/>
                <a:satMod val="170000"/>
              </a:schemeClr>
              <a:schemeClr val="phClr">
                <a:shade val="70000"/>
                <a:satMod val="13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customProperty" Target="../customProperty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L14"/>
  <sheetViews>
    <sheetView showGridLines="0" topLeftCell="A2" workbookViewId="0">
      <selection activeCell="K1" sqref="K1"/>
    </sheetView>
  </sheetViews>
  <sheetFormatPr baseColWidth="10" defaultColWidth="8.75" defaultRowHeight="16.5"/>
  <cols>
    <col min="1" max="1" width="2.375" style="1" customWidth="1"/>
    <col min="2" max="8" width="17.375" customWidth="1"/>
    <col min="10" max="11" width="15.375" customWidth="1"/>
  </cols>
  <sheetData>
    <row r="1" spans="1:12" s="1" customFormat="1" ht="59.25" customHeight="1" thickBot="1">
      <c r="B1" s="25">
        <f ca="1">DATE(CalendarYear,1,1)</f>
        <v>43101</v>
      </c>
      <c r="C1" s="25"/>
      <c r="D1" s="25"/>
      <c r="E1" s="25"/>
      <c r="F1" s="25"/>
      <c r="G1" s="25"/>
      <c r="H1" s="25"/>
      <c r="J1" s="19" t="s">
        <v>9</v>
      </c>
      <c r="K1" s="20">
        <v>2018</v>
      </c>
    </row>
    <row r="2" spans="1:12" s="3" customFormat="1" ht="21.75" customHeight="1">
      <c r="A2" s="2"/>
      <c r="B2" s="9" t="s">
        <v>0</v>
      </c>
      <c r="C2" s="10" t="s">
        <v>1</v>
      </c>
      <c r="D2" s="10" t="s">
        <v>2</v>
      </c>
      <c r="E2" s="10" t="s">
        <v>3</v>
      </c>
      <c r="F2" s="10" t="s">
        <v>4</v>
      </c>
      <c r="G2" s="10" t="s">
        <v>5</v>
      </c>
      <c r="H2" s="11" t="s">
        <v>6</v>
      </c>
    </row>
    <row r="3" spans="1:12" ht="14.1" customHeight="1">
      <c r="B3" s="12">
        <f ca="1">IF(DAY(JanSun1)=1,"",IF(AND(YEAR(JanSun1+1)=CalendarYear,MONTH(JanSun1+1)=1),JanSun1+1,""))</f>
        <v>43101</v>
      </c>
      <c r="C3" s="6">
        <f ca="1">IF(DAY(JanSun1)=1,"",IF(AND(YEAR(JanSun1+2)=CalendarYear,MONTH(JanSun1+2)=1),JanSun1+2,""))</f>
        <v>43102</v>
      </c>
      <c r="D3" s="6">
        <f ca="1">IF(DAY(JanSun1)=1,"",IF(AND(YEAR(JanSun1+3)=CalendarYear,MONTH(JanSun1+3)=1),JanSun1+3,""))</f>
        <v>43103</v>
      </c>
      <c r="E3" s="6">
        <f ca="1">IF(DAY(JanSun1)=1,"",IF(AND(YEAR(JanSun1+4)=CalendarYear,MONTH(JanSun1+4)=1),JanSun1+4,""))</f>
        <v>43104</v>
      </c>
      <c r="F3" s="6">
        <f ca="1">IF(DAY(JanSun1)=1,"",IF(AND(YEAR(JanSun1+5)=CalendarYear,MONTH(JanSun1+5)=1),JanSun1+5,""))</f>
        <v>43105</v>
      </c>
      <c r="G3" s="6">
        <f ca="1">IF(DAY(JanSun1)=1,"",IF(AND(YEAR(JanSun1+6)=CalendarYear,MONTH(JanSun1+6)=1),JanSun1+6,""))</f>
        <v>43106</v>
      </c>
      <c r="H3" s="13">
        <f ca="1">IF(DAY(JanSun1)=1,IF(AND(YEAR(JanSun1)=CalendarYear,MONTH(JanSun1)=1),JanSun1,""),IF(AND(YEAR(JanSun1+7)=CalendarYear,MONTH(JanSun1+7)=1),JanSun1+7,""))</f>
        <v>43107</v>
      </c>
    </row>
    <row r="4" spans="1:12" ht="57.95" customHeight="1">
      <c r="B4" s="15" t="s">
        <v>7</v>
      </c>
      <c r="C4" s="7"/>
      <c r="D4" s="8"/>
      <c r="E4" s="8"/>
      <c r="F4" s="8"/>
      <c r="G4" s="16"/>
      <c r="H4" s="17"/>
    </row>
    <row r="5" spans="1:12" ht="14.1" customHeight="1">
      <c r="B5" s="12">
        <f ca="1">IF(DAY(JanSun1)=1,IF(AND(YEAR(JanSun1+1)=CalendarYear,MONTH(JanSun1+1)=1),JanSun1+1,""),IF(AND(YEAR(JanSun1+8)=CalendarYear,MONTH(JanSun1+8)=1),JanSun1+8,""))</f>
        <v>43108</v>
      </c>
      <c r="C5" s="6">
        <f ca="1">IF(DAY(JanSun1)=1,IF(AND(YEAR(JanSun1+2)=CalendarYear,MONTH(JanSun1+2)=1),JanSun1+2,""),IF(AND(YEAR(JanSun1+9)=CalendarYear,MONTH(JanSun1+9)=1),JanSun1+9,""))</f>
        <v>43109</v>
      </c>
      <c r="D5" s="6">
        <f ca="1">IF(DAY(JanSun1)=1,IF(AND(YEAR(JanSun1+3)=CalendarYear,MONTH(JanSun1+3)=1),JanSun1+3,""),IF(AND(YEAR(JanSun1+10)=CalendarYear,MONTH(JanSun1+10)=1),JanSun1+10,""))</f>
        <v>43110</v>
      </c>
      <c r="E5" s="6">
        <f ca="1">IF(DAY(JanSun1)=1,IF(AND(YEAR(JanSun1+4)=CalendarYear,MONTH(JanSun1+4)=1),JanSun1+4,""),IF(AND(YEAR(JanSun1+11)=CalendarYear,MONTH(JanSun1+11)=1),JanSun1+11,""))</f>
        <v>43111</v>
      </c>
      <c r="F5" s="6">
        <f ca="1">IF(DAY(JanSun1)=1,IF(AND(YEAR(JanSun1+5)=CalendarYear,MONTH(JanSun1+5)=1),JanSun1+5,""),IF(AND(YEAR(JanSun1+12)=CalendarYear,MONTH(JanSun1+12)=1),JanSun1+12,""))</f>
        <v>43112</v>
      </c>
      <c r="G5" s="6">
        <f ca="1">IF(DAY(JanSun1)=1,IF(AND(YEAR(JanSun1+6)=CalendarYear,MONTH(JanSun1+6)=1),JanSun1+6,""),IF(AND(YEAR(JanSun1+13)=CalendarYear,MONTH(JanSun1+13)=1),JanSun1+13,""))</f>
        <v>43113</v>
      </c>
      <c r="H5" s="13">
        <f ca="1">IF(DAY(JanSun1)=1,IF(AND(YEAR(JanSun1+7)=CalendarYear,MONTH(JanSun1+7)=1),JanSun1+7,""),IF(AND(YEAR(JanSun1+14)=CalendarYear,MONTH(JanSun1+14)=1),JanSun1+14,""))</f>
        <v>43114</v>
      </c>
    </row>
    <row r="6" spans="1:12" ht="57.95" customHeight="1">
      <c r="B6" s="15"/>
      <c r="C6" s="7"/>
      <c r="D6" s="8"/>
      <c r="E6" s="8"/>
      <c r="F6" s="8"/>
      <c r="G6" s="16"/>
      <c r="H6" s="17"/>
    </row>
    <row r="7" spans="1:12" ht="14.1" customHeight="1">
      <c r="B7" s="12">
        <f ca="1">IF(DAY(JanSun1)=1,IF(AND(YEAR(JanSun1+8)=CalendarYear,MONTH(JanSun1+8)=1),JanSun1+8,""),IF(AND(YEAR(JanSun1+15)=CalendarYear,MONTH(JanSun1+15)=1),JanSun1+15,""))</f>
        <v>43115</v>
      </c>
      <c r="C7" s="6">
        <f ca="1">IF(DAY(JanSun1)=1,IF(AND(YEAR(JanSun1+9)=CalendarYear,MONTH(JanSun1+9)=1),JanSun1+9,""),IF(AND(YEAR(JanSun1+16)=CalendarYear,MONTH(JanSun1+16)=1),JanSun1+16,""))</f>
        <v>43116</v>
      </c>
      <c r="D7" s="6">
        <f ca="1">IF(DAY(JanSun1)=1,IF(AND(YEAR(JanSun1+10)=CalendarYear,MONTH(JanSun1+10)=1),JanSun1+10,""),IF(AND(YEAR(JanSun1+17)=CalendarYear,MONTH(JanSun1+17)=1),JanSun1+17,""))</f>
        <v>43117</v>
      </c>
      <c r="E7" s="6">
        <f ca="1">IF(DAY(JanSun1)=1,IF(AND(YEAR(JanSun1+11)=CalendarYear,MONTH(JanSun1+11)=1),JanSun1+11,""),IF(AND(YEAR(JanSun1+18)=CalendarYear,MONTH(JanSun1+18)=1),JanSun1+18,""))</f>
        <v>43118</v>
      </c>
      <c r="F7" s="6">
        <f ca="1">IF(DAY(JanSun1)=1,IF(AND(YEAR(JanSun1+12)=CalendarYear,MONTH(JanSun1+12)=1),JanSun1+12,""),IF(AND(YEAR(JanSun1+19)=CalendarYear,MONTH(JanSun1+19)=1),JanSun1+19,""))</f>
        <v>43119</v>
      </c>
      <c r="G7" s="6">
        <f ca="1">IF(DAY(JanSun1)=1,IF(AND(YEAR(JanSun1+13)=CalendarYear,MONTH(JanSun1+13)=1),JanSun1+13,""),IF(AND(YEAR(JanSun1+20)=CalendarYear,MONTH(JanSun1+20)=1),JanSun1+20,""))</f>
        <v>43120</v>
      </c>
      <c r="H7" s="13">
        <f ca="1">IF(DAY(JanSun1)=1,IF(AND(YEAR(JanSun1+14)=CalendarYear,MONTH(JanSun1+14)=1),JanSun1+14,""),IF(AND(YEAR(JanSun1+21)=CalendarYear,MONTH(JanSun1+21)=1),JanSun1+21,""))</f>
        <v>43121</v>
      </c>
    </row>
    <row r="8" spans="1:12" ht="57.95" customHeight="1">
      <c r="B8" s="15"/>
      <c r="C8" s="7"/>
      <c r="D8" s="8"/>
      <c r="E8" s="8"/>
      <c r="F8" s="8"/>
      <c r="G8" s="16"/>
      <c r="H8" s="17"/>
    </row>
    <row r="9" spans="1:12" ht="14.1" customHeight="1">
      <c r="B9" s="12">
        <f ca="1">IF(DAY(JanSun1)=1,IF(AND(YEAR(JanSun1+15)=CalendarYear,MONTH(JanSun1+15)=1),JanSun1+15,""),IF(AND(YEAR(JanSun1+22)=CalendarYear,MONTH(JanSun1+22)=1),JanSun1+22,""))</f>
        <v>43122</v>
      </c>
      <c r="C9" s="6">
        <f ca="1">IF(DAY(JanSun1)=1,IF(AND(YEAR(JanSun1+16)=CalendarYear,MONTH(JanSun1+16)=1),JanSun1+16,""),IF(AND(YEAR(JanSun1+23)=CalendarYear,MONTH(JanSun1+23)=1),JanSun1+23,""))</f>
        <v>43123</v>
      </c>
      <c r="D9" s="6">
        <f ca="1">IF(DAY(JanSun1)=1,IF(AND(YEAR(JanSun1+17)=CalendarYear,MONTH(JanSun1+17)=1),JanSun1+17,""),IF(AND(YEAR(JanSun1+24)=CalendarYear,MONTH(JanSun1+24)=1),JanSun1+24,""))</f>
        <v>43124</v>
      </c>
      <c r="E9" s="6">
        <f ca="1">IF(DAY(JanSun1)=1,IF(AND(YEAR(JanSun1+18)=CalendarYear,MONTH(JanSun1+18)=1),JanSun1+18,""),IF(AND(YEAR(JanSun1+25)=CalendarYear,MONTH(JanSun1+25)=1),JanSun1+25,""))</f>
        <v>43125</v>
      </c>
      <c r="F9" s="6">
        <f ca="1">IF(DAY(JanSun1)=1,IF(AND(YEAR(JanSun1+19)=CalendarYear,MONTH(JanSun1+19)=1),JanSun1+19,""),IF(AND(YEAR(JanSun1+26)=CalendarYear,MONTH(JanSun1+26)=1),JanSun1+26,""))</f>
        <v>43126</v>
      </c>
      <c r="G9" s="6">
        <f ca="1">IF(DAY(JanSun1)=1,IF(AND(YEAR(JanSun1+20)=CalendarYear,MONTH(JanSun1+20)=1),JanSun1+20,""),IF(AND(YEAR(JanSun1+27)=CalendarYear,MONTH(JanSun1+27)=1),JanSun1+27,""))</f>
        <v>43127</v>
      </c>
      <c r="H9" s="13">
        <f ca="1">IF(DAY(JanSun1)=1,IF(AND(YEAR(JanSun1+21)=CalendarYear,MONTH(JanSun1+21)=1),JanSun1+21,""),IF(AND(YEAR(JanSun1+28)=CalendarYear,MONTH(JanSun1+28)=1),JanSun1+28,""))</f>
        <v>43128</v>
      </c>
    </row>
    <row r="10" spans="1:12" ht="57.95" customHeight="1">
      <c r="B10" s="15"/>
      <c r="C10" s="7"/>
      <c r="D10" s="8"/>
      <c r="E10" s="8"/>
      <c r="F10" s="8"/>
      <c r="G10" s="16"/>
      <c r="H10" s="17"/>
    </row>
    <row r="11" spans="1:12" ht="14.1" customHeight="1">
      <c r="B11" s="12">
        <f ca="1">IF(DAY(JanSun1)=1,IF(AND(YEAR(JanSun1+22)=CalendarYear,MONTH(JanSun1+22)=1),JanSun1+22,""),IF(AND(YEAR(JanSun1+29)=CalendarYear,MONTH(JanSun1+29)=1),JanSun1+29,""))</f>
        <v>43129</v>
      </c>
      <c r="C11" s="6">
        <f ca="1">IF(DAY(JanSun1)=1,IF(AND(YEAR(JanSun1+23)=CalendarYear,MONTH(JanSun1+23)=1),JanSun1+23,""),IF(AND(YEAR(JanSun1+30)=CalendarYear,MONTH(JanSun1+30)=1),JanSun1+30,""))</f>
        <v>43130</v>
      </c>
      <c r="D11" s="6">
        <f ca="1">IF(DAY(JanSun1)=1,IF(AND(YEAR(JanSun1+24)=CalendarYear,MONTH(JanSun1+24)=1),JanSun1+24,""),IF(AND(YEAR(JanSun1+31)=CalendarYear,MONTH(JanSun1+31)=1),JanSun1+31,""))</f>
        <v>43131</v>
      </c>
      <c r="E11" s="6" t="str">
        <f ca="1">IF(DAY(JanSun1)=1,IF(AND(YEAR(JanSun1+25)=CalendarYear,MONTH(JanSun1+25)=1),JanSun1+25,""),IF(AND(YEAR(JanSun1+32)=CalendarYear,MONTH(JanSun1+32)=1),JanSun1+32,""))</f>
        <v/>
      </c>
      <c r="F11" s="6" t="str">
        <f ca="1">IF(DAY(JanSun1)=1,IF(AND(YEAR(JanSun1+26)=CalendarYear,MONTH(JanSun1+26)=1),JanSun1+26,""),IF(AND(YEAR(JanSun1+33)=CalendarYear,MONTH(JanSun1+33)=1),JanSun1+33,""))</f>
        <v/>
      </c>
      <c r="G11" s="6" t="str">
        <f ca="1">IF(DAY(JanSun1)=1,IF(AND(YEAR(JanSun1+27)=CalendarYear,MONTH(JanSun1+27)=1),JanSun1+27,""),IF(AND(YEAR(JanSun1+34)=CalendarYear,MONTH(JanSun1+34)=1),JanSun1+34,""))</f>
        <v/>
      </c>
      <c r="H11" s="13" t="str">
        <f ca="1">IF(DAY(JanSun1)=1,IF(AND(YEAR(JanSun1+28)=CalendarYear,MONTH(JanSun1+28)=1),JanSun1+28,""),IF(AND(YEAR(JanSun1+35)=CalendarYear,MONTH(JanSun1+35)=1),JanSun1+35,""))</f>
        <v/>
      </c>
    </row>
    <row r="12" spans="1:12" ht="57.95" customHeight="1">
      <c r="B12" s="15"/>
      <c r="C12" s="7"/>
      <c r="D12" s="8"/>
      <c r="E12" s="8"/>
      <c r="F12" s="7"/>
      <c r="G12" s="16"/>
      <c r="H12" s="17"/>
    </row>
    <row r="13" spans="1:12" ht="14.1" customHeight="1">
      <c r="B13" s="12" t="str">
        <f ca="1">IF(DAY(JanSun1)=1,IF(AND(YEAR(JanSun1+29)=CalendarYear,MONTH(JanSun1+29)=1),JanSun1+29,""),IF(AND(YEAR(JanSun1+36)=CalendarYear,MONTH(JanSun1+36)=1),JanSun1+36,""))</f>
        <v/>
      </c>
      <c r="C13" s="6" t="str">
        <f ca="1">IF(DAY(JanSun1)=1,IF(AND(YEAR(JanSun1+30)=CalendarYear,MONTH(JanSun1+30)=1),JanSun1+30,""),IF(AND(YEAR(JanSun1+37)=CalendarYear,MONTH(JanSun1+37)=1),JanSun1+37,""))</f>
        <v/>
      </c>
      <c r="D13" s="29" t="s">
        <v>8</v>
      </c>
      <c r="E13" s="29"/>
      <c r="F13" s="29"/>
      <c r="G13" s="29"/>
      <c r="H13" s="30"/>
    </row>
    <row r="14" spans="1:12" ht="57.95" customHeight="1" thickBot="1">
      <c r="B14" s="18"/>
      <c r="C14" s="14"/>
      <c r="D14" s="26"/>
      <c r="E14" s="27"/>
      <c r="F14" s="27"/>
      <c r="G14" s="27"/>
      <c r="H14" s="28"/>
    </row>
  </sheetData>
  <mergeCells count="3">
    <mergeCell ref="B1:H1"/>
    <mergeCell ref="D14:H14"/>
    <mergeCell ref="D13:H13"/>
  </mergeCells>
  <phoneticPr fontId="1" type="noConversion"/>
  <dataValidations count="1">
    <dataValidation type="list" allowBlank="1" showInputMessage="1" showErrorMessage="1" sqref="K1">
      <formula1>Year</formula1>
    </dataValidation>
  </dataValidations>
  <printOptions horizontalCentered="1" verticalCentered="1"/>
  <pageMargins left="0.5" right="0.5" top="0.75" bottom="0.75" header="0.5" footer="0.5"/>
  <headerFooter alignWithMargins="0"/>
  <customProperties>
    <customPr name="SheetChanged" r:id="rId1"/>
  </customProperties>
  <legacyDrawing r:id="rId2"/>
</worksheet>
</file>

<file path=xl/worksheets/sheet10.xml><?xml version="1.0" encoding="utf-8"?>
<worksheet xmlns="http://schemas.openxmlformats.org/spreadsheetml/2006/main" xmlns:r="http://schemas.openxmlformats.org/officeDocument/2006/relationships">
  <sheetPr enableFormatConditionsCalculation="0">
    <pageSetUpPr fitToPage="1"/>
  </sheetPr>
  <dimension ref="A1:H14"/>
  <sheetViews>
    <sheetView showGridLines="0" workbookViewId="0">
      <selection activeCell="D13" sqref="D13:H13"/>
    </sheetView>
  </sheetViews>
  <sheetFormatPr baseColWidth="10" defaultColWidth="8.75" defaultRowHeight="16.5"/>
  <cols>
    <col min="1" max="1" width="2.375" style="1" customWidth="1"/>
    <col min="2" max="8" width="17.375" customWidth="1"/>
    <col min="10" max="10" width="13.375" bestFit="1" customWidth="1"/>
    <col min="11" max="11" width="14.75" bestFit="1" customWidth="1"/>
  </cols>
  <sheetData>
    <row r="1" spans="1:8" s="1" customFormat="1" ht="59.25" customHeight="1" thickBot="1">
      <c r="B1" s="25">
        <f ca="1">DATE(CalendarYear,11,1)</f>
        <v>43405</v>
      </c>
      <c r="C1" s="25"/>
      <c r="D1" s="25"/>
      <c r="E1" s="25"/>
      <c r="F1" s="25"/>
      <c r="G1" s="25"/>
      <c r="H1" s="25"/>
    </row>
    <row r="2" spans="1:8" s="3" customFormat="1" ht="21.75" customHeight="1">
      <c r="A2" s="2"/>
      <c r="B2" s="9" t="s">
        <v>0</v>
      </c>
      <c r="C2" s="10" t="s">
        <v>1</v>
      </c>
      <c r="D2" s="10" t="s">
        <v>2</v>
      </c>
      <c r="E2" s="10" t="s">
        <v>3</v>
      </c>
      <c r="F2" s="10" t="s">
        <v>4</v>
      </c>
      <c r="G2" s="10" t="s">
        <v>5</v>
      </c>
      <c r="H2" s="11" t="s">
        <v>6</v>
      </c>
    </row>
    <row r="3" spans="1:8" ht="14.1" customHeight="1">
      <c r="B3" s="12" t="str">
        <f ca="1">IF(DAY(NovSun1)=1,"",IF(AND(YEAR(NovSun1+1)=CalendarYear,MONTH(NovSun1+1)=11),NovSun1+1,""))</f>
        <v/>
      </c>
      <c r="C3" s="6" t="str">
        <f ca="1">IF(DAY(NovSun1)=1,"",IF(AND(YEAR(NovSun1+2)=CalendarYear,MONTH(NovSun1+2)=11),NovSun1+2,""))</f>
        <v/>
      </c>
      <c r="D3" s="6" t="str">
        <f ca="1">IF(DAY(NovSun1)=1,"",IF(AND(YEAR(NovSun1+3)=CalendarYear,MONTH(NovSun1+3)=11),NovSun1+3,""))</f>
        <v/>
      </c>
      <c r="E3" s="6">
        <f ca="1">IF(DAY(NovSun1)=1,"",IF(AND(YEAR(NovSun1+4)=CalendarYear,MONTH(NovSun1+4)=11),NovSun1+4,""))</f>
        <v>43405</v>
      </c>
      <c r="F3" s="6">
        <f ca="1">IF(DAY(NovSun1)=1,"",IF(AND(YEAR(NovSun1+5)=CalendarYear,MONTH(NovSun1+5)=11),NovSun1+5,""))</f>
        <v>43406</v>
      </c>
      <c r="G3" s="6">
        <f ca="1">IF(DAY(NovSun1)=1,"",IF(AND(YEAR(NovSun1+6)=CalendarYear,MONTH(NovSun1+6)=11),NovSun1+6,""))</f>
        <v>43407</v>
      </c>
      <c r="H3" s="13">
        <f ca="1">IF(DAY(NovSun1)=1,IF(AND(YEAR(NovSun1)=CalendarYear,MONTH(NovSun1)=11),NovSun1,""),IF(AND(YEAR(NovSun1+7)=CalendarYear,MONTH(NovSun1+7)=11),NovSun1+7,""))</f>
        <v>43408</v>
      </c>
    </row>
    <row r="4" spans="1:8" ht="57.95" customHeight="1">
      <c r="B4" s="15"/>
      <c r="C4" s="7"/>
      <c r="D4" s="8"/>
      <c r="E4" s="8"/>
      <c r="F4" s="8"/>
      <c r="G4" s="16"/>
      <c r="H4" s="17"/>
    </row>
    <row r="5" spans="1:8" ht="14.1" customHeight="1">
      <c r="B5" s="12">
        <f ca="1">IF(DAY(NovSun1)=1,IF(AND(YEAR(NovSun1+1)=CalendarYear,MONTH(NovSun1+1)=11),NovSun1+1,""),IF(AND(YEAR(NovSun1+8)=CalendarYear,MONTH(NovSun1+8)=11),NovSun1+8,""))</f>
        <v>43409</v>
      </c>
      <c r="C5" s="6">
        <f ca="1">IF(DAY(NovSun1)=1,IF(AND(YEAR(NovSun1+2)=CalendarYear,MONTH(NovSun1+2)=11),NovSun1+2,""),IF(AND(YEAR(NovSun1+9)=CalendarYear,MONTH(NovSun1+9)=11),NovSun1+9,""))</f>
        <v>43410</v>
      </c>
      <c r="D5" s="6">
        <f ca="1">IF(DAY(NovSun1)=1,IF(AND(YEAR(NovSun1+3)=CalendarYear,MONTH(NovSun1+3)=11),NovSun1+3,""),IF(AND(YEAR(NovSun1+10)=CalendarYear,MONTH(NovSun1+10)=11),NovSun1+10,""))</f>
        <v>43411</v>
      </c>
      <c r="E5" s="6">
        <f ca="1">IF(DAY(NovSun1)=1,IF(AND(YEAR(NovSun1+4)=CalendarYear,MONTH(NovSun1+4)=11),NovSun1+4,""),IF(AND(YEAR(NovSun1+11)=CalendarYear,MONTH(NovSun1+11)=11),NovSun1+11,""))</f>
        <v>43412</v>
      </c>
      <c r="F5" s="6">
        <f ca="1">IF(DAY(NovSun1)=1,IF(AND(YEAR(NovSun1+5)=CalendarYear,MONTH(NovSun1+5)=11),NovSun1+5,""),IF(AND(YEAR(NovSun1+12)=CalendarYear,MONTH(NovSun1+12)=11),NovSun1+12,""))</f>
        <v>43413</v>
      </c>
      <c r="G5" s="6">
        <f ca="1">IF(DAY(NovSun1)=1,IF(AND(YEAR(NovSun1+6)=CalendarYear,MONTH(NovSun1+6)=11),NovSun1+6,""),IF(AND(YEAR(NovSun1+13)=CalendarYear,MONTH(NovSun1+13)=11),NovSun1+13,""))</f>
        <v>43414</v>
      </c>
      <c r="H5" s="13">
        <f ca="1">IF(DAY(NovSun1)=1,IF(AND(YEAR(NovSun1+7)=CalendarYear,MONTH(NovSun1+7)=11),NovSun1+7,""),IF(AND(YEAR(NovSun1+14)=CalendarYear,MONTH(NovSun1+14)=11),NovSun1+14,""))</f>
        <v>43415</v>
      </c>
    </row>
    <row r="6" spans="1:8" ht="57.95" customHeight="1">
      <c r="B6" s="15"/>
      <c r="C6" s="7"/>
      <c r="D6" s="8"/>
      <c r="E6" s="8"/>
      <c r="F6" s="8"/>
      <c r="G6" s="16"/>
      <c r="H6" s="17"/>
    </row>
    <row r="7" spans="1:8" ht="14.1" customHeight="1">
      <c r="B7" s="12">
        <f ca="1">IF(DAY(NovSun1)=1,IF(AND(YEAR(NovSun1+8)=CalendarYear,MONTH(NovSun1+8)=11),NovSun1+8,""),IF(AND(YEAR(NovSun1+15)=CalendarYear,MONTH(NovSun1+15)=11),NovSun1+15,""))</f>
        <v>43416</v>
      </c>
      <c r="C7" s="6">
        <f ca="1">IF(DAY(NovSun1)=1,IF(AND(YEAR(NovSun1+9)=CalendarYear,MONTH(NovSun1+9)=11),NovSun1+9,""),IF(AND(YEAR(NovSun1+16)=CalendarYear,MONTH(NovSun1+16)=11),NovSun1+16,""))</f>
        <v>43417</v>
      </c>
      <c r="D7" s="6">
        <f ca="1">IF(DAY(NovSun1)=1,IF(AND(YEAR(NovSun1+10)=CalendarYear,MONTH(NovSun1+10)=11),NovSun1+10,""),IF(AND(YEAR(NovSun1+17)=CalendarYear,MONTH(NovSun1+17)=11),NovSun1+17,""))</f>
        <v>43418</v>
      </c>
      <c r="E7" s="6">
        <f ca="1">IF(DAY(NovSun1)=1,IF(AND(YEAR(NovSun1+11)=CalendarYear,MONTH(NovSun1+11)=11),NovSun1+11,""),IF(AND(YEAR(NovSun1+18)=CalendarYear,MONTH(NovSun1+18)=11),NovSun1+18,""))</f>
        <v>43419</v>
      </c>
      <c r="F7" s="6">
        <f ca="1">IF(DAY(NovSun1)=1,IF(AND(YEAR(NovSun1+12)=CalendarYear,MONTH(NovSun1+12)=11),NovSun1+12,""),IF(AND(YEAR(NovSun1+19)=CalendarYear,MONTH(NovSun1+19)=11),NovSun1+19,""))</f>
        <v>43420</v>
      </c>
      <c r="G7" s="6">
        <f ca="1">IF(DAY(NovSun1)=1,IF(AND(YEAR(NovSun1+13)=CalendarYear,MONTH(NovSun1+13)=11),NovSun1+13,""),IF(AND(YEAR(NovSun1+20)=CalendarYear,MONTH(NovSun1+20)=11),NovSun1+20,""))</f>
        <v>43421</v>
      </c>
      <c r="H7" s="13">
        <f ca="1">IF(DAY(NovSun1)=1,IF(AND(YEAR(NovSun1+14)=CalendarYear,MONTH(NovSun1+14)=11),NovSun1+14,""),IF(AND(YEAR(NovSun1+21)=CalendarYear,MONTH(NovSun1+21)=11),NovSun1+21,""))</f>
        <v>43422</v>
      </c>
    </row>
    <row r="8" spans="1:8" ht="57.95" customHeight="1">
      <c r="B8" s="15"/>
      <c r="C8" s="7"/>
      <c r="D8" s="8"/>
      <c r="E8" s="8"/>
      <c r="F8" s="8"/>
      <c r="G8" s="16"/>
      <c r="H8" s="17"/>
    </row>
    <row r="9" spans="1:8" ht="14.1" customHeight="1">
      <c r="B9" s="12">
        <f ca="1">IF(DAY(NovSun1)=1,IF(AND(YEAR(NovSun1+15)=CalendarYear,MONTH(NovSun1+15)=11),NovSun1+15,""),IF(AND(YEAR(NovSun1+22)=CalendarYear,MONTH(NovSun1+22)=11),NovSun1+22,""))</f>
        <v>43423</v>
      </c>
      <c r="C9" s="6">
        <f ca="1">IF(DAY(NovSun1)=1,IF(AND(YEAR(NovSun1+16)=CalendarYear,MONTH(NovSun1+16)=11),NovSun1+16,""),IF(AND(YEAR(NovSun1+23)=CalendarYear,MONTH(NovSun1+23)=11),NovSun1+23,""))</f>
        <v>43424</v>
      </c>
      <c r="D9" s="6">
        <f ca="1">IF(DAY(NovSun1)=1,IF(AND(YEAR(NovSun1+17)=CalendarYear,MONTH(NovSun1+17)=11),NovSun1+17,""),IF(AND(YEAR(NovSun1+24)=CalendarYear,MONTH(NovSun1+24)=11),NovSun1+24,""))</f>
        <v>43425</v>
      </c>
      <c r="E9" s="6">
        <f ca="1">IF(DAY(NovSun1)=1,IF(AND(YEAR(NovSun1+18)=CalendarYear,MONTH(NovSun1+18)=11),NovSun1+18,""),IF(AND(YEAR(NovSun1+25)=CalendarYear,MONTH(NovSun1+25)=11),NovSun1+25,""))</f>
        <v>43426</v>
      </c>
      <c r="F9" s="6">
        <f ca="1">IF(DAY(NovSun1)=1,IF(AND(YEAR(NovSun1+19)=CalendarYear,MONTH(NovSun1+19)=11),NovSun1+19,""),IF(AND(YEAR(NovSun1+26)=CalendarYear,MONTH(NovSun1+26)=11),NovSun1+26,""))</f>
        <v>43427</v>
      </c>
      <c r="G9" s="6">
        <f ca="1">IF(DAY(NovSun1)=1,IF(AND(YEAR(NovSun1+20)=CalendarYear,MONTH(NovSun1+20)=11),NovSun1+20,""),IF(AND(YEAR(NovSun1+27)=CalendarYear,MONTH(NovSun1+27)=11),NovSun1+27,""))</f>
        <v>43428</v>
      </c>
      <c r="H9" s="13">
        <f ca="1">IF(DAY(NovSun1)=1,IF(AND(YEAR(NovSun1+21)=CalendarYear,MONTH(NovSun1+21)=11),NovSun1+21,""),IF(AND(YEAR(NovSun1+28)=CalendarYear,MONTH(NovSun1+28)=11),NovSun1+28,""))</f>
        <v>43429</v>
      </c>
    </row>
    <row r="10" spans="1:8" ht="57.95" customHeight="1">
      <c r="B10" s="15"/>
      <c r="C10" s="7"/>
      <c r="D10" s="8"/>
      <c r="E10" s="8"/>
      <c r="F10" s="8"/>
      <c r="G10" s="16"/>
      <c r="H10" s="17"/>
    </row>
    <row r="11" spans="1:8" ht="14.1" customHeight="1">
      <c r="B11" s="12">
        <f ca="1">IF(DAY(NovSun1)=1,IF(AND(YEAR(NovSun1+22)=CalendarYear,MONTH(NovSun1+22)=11),NovSun1+22,""),IF(AND(YEAR(NovSun1+29)=CalendarYear,MONTH(NovSun1+29)=11),NovSun1+29,""))</f>
        <v>43430</v>
      </c>
      <c r="C11" s="6">
        <f ca="1">IF(DAY(NovSun1)=1,IF(AND(YEAR(NovSun1+23)=CalendarYear,MONTH(NovSun1+23)=11),NovSun1+23,""),IF(AND(YEAR(NovSun1+30)=CalendarYear,MONTH(NovSun1+30)=11),NovSun1+30,""))</f>
        <v>43431</v>
      </c>
      <c r="D11" s="6">
        <f ca="1">IF(DAY(NovSun1)=1,IF(AND(YEAR(NovSun1+24)=CalendarYear,MONTH(NovSun1+24)=11),NovSun1+24,""),IF(AND(YEAR(NovSun1+31)=CalendarYear,MONTH(NovSun1+31)=11),NovSun1+31,""))</f>
        <v>43432</v>
      </c>
      <c r="E11" s="6">
        <f ca="1">IF(DAY(NovSun1)=1,IF(AND(YEAR(NovSun1+25)=CalendarYear,MONTH(NovSun1+25)=11),NovSun1+25,""),IF(AND(YEAR(NovSun1+32)=CalendarYear,MONTH(NovSun1+32)=11),NovSun1+32,""))</f>
        <v>43433</v>
      </c>
      <c r="F11" s="6">
        <f ca="1">IF(DAY(NovSun1)=1,IF(AND(YEAR(NovSun1+26)=CalendarYear,MONTH(NovSun1+26)=11),NovSun1+26,""),IF(AND(YEAR(NovSun1+33)=CalendarYear,MONTH(NovSun1+33)=11),NovSun1+33,""))</f>
        <v>43434</v>
      </c>
      <c r="G11" s="6" t="str">
        <f ca="1">IF(DAY(NovSun1)=1,IF(AND(YEAR(NovSun1+27)=CalendarYear,MONTH(NovSun1+27)=11),NovSun1+27,""),IF(AND(YEAR(NovSun1+34)=CalendarYear,MONTH(NovSun1+34)=11),NovSun1+34,""))</f>
        <v/>
      </c>
      <c r="H11" s="13" t="str">
        <f ca="1">IF(DAY(NovSun1)=1,IF(AND(YEAR(NovSun1+28)=CalendarYear,MONTH(NovSun1+28)=11),NovSun1+28,""),IF(AND(YEAR(NovSun1+35)=CalendarYear,MONTH(NovSun1+35)=11),NovSun1+35,""))</f>
        <v/>
      </c>
    </row>
    <row r="12" spans="1:8" ht="57.95" customHeight="1">
      <c r="B12" s="15"/>
      <c r="C12" s="7"/>
      <c r="D12" s="8"/>
      <c r="E12" s="8"/>
      <c r="F12" s="7"/>
      <c r="G12" s="16"/>
      <c r="H12" s="17"/>
    </row>
    <row r="13" spans="1:8" ht="14.1" customHeight="1">
      <c r="B13" s="12" t="str">
        <f ca="1">IF(DAY(NovSun1)=1,IF(AND(YEAR(NovSun1+29)=CalendarYear,MONTH(NovSun1+29)=11),NovSun1+29,""),IF(AND(YEAR(NovSun1+36)=CalendarYear,MONTH(NovSun1+36)=11),NovSun1+36,""))</f>
        <v/>
      </c>
      <c r="C13" s="6" t="str">
        <f ca="1">IF(DAY(NovSun1)=1,IF(AND(YEAR(NovSun1+30)=CalendarYear,MONTH(NovSun1+30)=11),NovSun1+30,""),IF(AND(YEAR(NovSun1+37)=CalendarYear,MONTH(NovSun1+37)=11),NovSun1+37,""))</f>
        <v/>
      </c>
      <c r="D13" s="29" t="s">
        <v>8</v>
      </c>
      <c r="E13" s="29"/>
      <c r="F13" s="29"/>
      <c r="G13" s="29"/>
      <c r="H13" s="30"/>
    </row>
    <row r="14" spans="1:8" ht="57.95" customHeight="1" thickBot="1">
      <c r="B14" s="18"/>
      <c r="C14" s="14"/>
      <c r="D14" s="26"/>
      <c r="E14" s="27"/>
      <c r="F14" s="27"/>
      <c r="G14" s="27"/>
      <c r="H14" s="28"/>
    </row>
  </sheetData>
  <mergeCells count="3">
    <mergeCell ref="B1:H1"/>
    <mergeCell ref="D13:H13"/>
    <mergeCell ref="D14:H14"/>
  </mergeCells>
  <phoneticPr fontId="7" type="noConversion"/>
  <printOptions horizontalCentered="1" verticalCentered="1"/>
  <pageMargins left="0.5" right="0.5" top="0.75" bottom="0.75" header="0.5" footer="0.5"/>
  <headerFooter alignWithMargins="0"/>
</worksheet>
</file>

<file path=xl/worksheets/sheet11.xml><?xml version="1.0" encoding="utf-8"?>
<worksheet xmlns="http://schemas.openxmlformats.org/spreadsheetml/2006/main" xmlns:r="http://schemas.openxmlformats.org/officeDocument/2006/relationships">
  <sheetPr enableFormatConditionsCalculation="0">
    <pageSetUpPr fitToPage="1"/>
  </sheetPr>
  <dimension ref="A1:H14"/>
  <sheetViews>
    <sheetView showGridLines="0" workbookViewId="0">
      <selection activeCell="D13" sqref="D13:H13"/>
    </sheetView>
  </sheetViews>
  <sheetFormatPr baseColWidth="10" defaultColWidth="8.75" defaultRowHeight="16.5"/>
  <cols>
    <col min="1" max="1" width="2.375" style="1" customWidth="1"/>
    <col min="2" max="8" width="17.375" customWidth="1"/>
    <col min="10" max="10" width="13.375" bestFit="1" customWidth="1"/>
    <col min="11" max="11" width="14.75" bestFit="1" customWidth="1"/>
  </cols>
  <sheetData>
    <row r="1" spans="1:8" s="1" customFormat="1" ht="59.25" customHeight="1" thickBot="1">
      <c r="B1" s="25">
        <f ca="1">DATE(CalendarYear,12,1)</f>
        <v>43435</v>
      </c>
      <c r="C1" s="25"/>
      <c r="D1" s="25"/>
      <c r="E1" s="25"/>
      <c r="F1" s="25"/>
      <c r="G1" s="25"/>
      <c r="H1" s="25"/>
    </row>
    <row r="2" spans="1:8" s="3" customFormat="1" ht="21.75" customHeight="1">
      <c r="A2" s="2"/>
      <c r="B2" s="9" t="s">
        <v>0</v>
      </c>
      <c r="C2" s="10" t="s">
        <v>1</v>
      </c>
      <c r="D2" s="10" t="s">
        <v>2</v>
      </c>
      <c r="E2" s="10" t="s">
        <v>3</v>
      </c>
      <c r="F2" s="10" t="s">
        <v>4</v>
      </c>
      <c r="G2" s="10" t="s">
        <v>5</v>
      </c>
      <c r="H2" s="11" t="s">
        <v>6</v>
      </c>
    </row>
    <row r="3" spans="1:8" ht="14.1" customHeight="1">
      <c r="B3" s="12" t="str">
        <f ca="1">IF(DAY(DecSun1)=1,"",IF(AND(YEAR(DecSun1+1)=CalendarYear,MONTH(DecSun1+1)=12),DecSun1+1,""))</f>
        <v/>
      </c>
      <c r="C3" s="6" t="str">
        <f ca="1">IF(DAY(DecSun1)=1,"",IF(AND(YEAR(DecSun1+2)=CalendarYear,MONTH(DecSun1+2)=12),DecSun1+2,""))</f>
        <v/>
      </c>
      <c r="D3" s="6" t="str">
        <f ca="1">IF(DAY(DecSun1)=1,"",IF(AND(YEAR(DecSun1+3)=CalendarYear,MONTH(DecSun1+3)=12),DecSun1+3,""))</f>
        <v/>
      </c>
      <c r="E3" s="6" t="str">
        <f ca="1">IF(DAY(DecSun1)=1,"",IF(AND(YEAR(DecSun1+4)=CalendarYear,MONTH(DecSun1+4)=12),DecSun1+4,""))</f>
        <v/>
      </c>
      <c r="F3" s="6" t="str">
        <f ca="1">IF(DAY(DecSun1)=1,"",IF(AND(YEAR(DecSun1+5)=CalendarYear,MONTH(DecSun1+5)=12),DecSun1+5,""))</f>
        <v/>
      </c>
      <c r="G3" s="6">
        <f ca="1">IF(DAY(DecSun1)=1,"",IF(AND(YEAR(DecSun1+6)=CalendarYear,MONTH(DecSun1+6)=12),DecSun1+6,""))</f>
        <v>43435</v>
      </c>
      <c r="H3" s="13">
        <f ca="1">IF(DAY(DecSun1)=1,IF(AND(YEAR(DecSun1)=CalendarYear,MONTH(DecSun1)=12),DecSun1,""),IF(AND(YEAR(DecSun1+7)=CalendarYear,MONTH(DecSun1+7)=12),DecSun1+7,""))</f>
        <v>43436</v>
      </c>
    </row>
    <row r="4" spans="1:8" ht="57.95" customHeight="1">
      <c r="B4" s="15"/>
      <c r="C4" s="7"/>
      <c r="D4" s="8"/>
      <c r="E4" s="8"/>
      <c r="F4" s="8"/>
      <c r="G4" s="16"/>
      <c r="H4" s="17"/>
    </row>
    <row r="5" spans="1:8" ht="14.1" customHeight="1">
      <c r="B5" s="12">
        <f ca="1">IF(DAY(DecSun1)=1,IF(AND(YEAR(DecSun1+1)=CalendarYear,MONTH(DecSun1+1)=12),DecSun1+1,""),IF(AND(YEAR(DecSun1+8)=CalendarYear,MONTH(DecSun1+8)=12),DecSun1+8,""))</f>
        <v>43437</v>
      </c>
      <c r="C5" s="6">
        <f ca="1">IF(DAY(DecSun1)=1,IF(AND(YEAR(DecSun1+2)=CalendarYear,MONTH(DecSun1+2)=12),DecSun1+2,""),IF(AND(YEAR(DecSun1+9)=CalendarYear,MONTH(DecSun1+9)=12),DecSun1+9,""))</f>
        <v>43438</v>
      </c>
      <c r="D5" s="6">
        <f ca="1">IF(DAY(DecSun1)=1,IF(AND(YEAR(DecSun1+3)=CalendarYear,MONTH(DecSun1+3)=12),DecSun1+3,""),IF(AND(YEAR(DecSun1+10)=CalendarYear,MONTH(DecSun1+10)=12),DecSun1+10,""))</f>
        <v>43439</v>
      </c>
      <c r="E5" s="6">
        <f ca="1">IF(DAY(DecSun1)=1,IF(AND(YEAR(DecSun1+4)=CalendarYear,MONTH(DecSun1+4)=12),DecSun1+4,""),IF(AND(YEAR(DecSun1+11)=CalendarYear,MONTH(DecSun1+11)=12),DecSun1+11,""))</f>
        <v>43440</v>
      </c>
      <c r="F5" s="6">
        <f ca="1">IF(DAY(DecSun1)=1,IF(AND(YEAR(DecSun1+5)=CalendarYear,MONTH(DecSun1+5)=12),DecSun1+5,""),IF(AND(YEAR(DecSun1+12)=CalendarYear,MONTH(DecSun1+12)=12),DecSun1+12,""))</f>
        <v>43441</v>
      </c>
      <c r="G5" s="6">
        <f ca="1">IF(DAY(DecSun1)=1,IF(AND(YEAR(DecSun1+6)=CalendarYear,MONTH(DecSun1+6)=12),DecSun1+6,""),IF(AND(YEAR(DecSun1+13)=CalendarYear,MONTH(DecSun1+13)=12),DecSun1+13,""))</f>
        <v>43442</v>
      </c>
      <c r="H5" s="13">
        <f ca="1">IF(DAY(DecSun1)=1,IF(AND(YEAR(DecSun1+7)=CalendarYear,MONTH(DecSun1+7)=12),DecSun1+7,""),IF(AND(YEAR(DecSun1+14)=CalendarYear,MONTH(DecSun1+14)=12),DecSun1+14,""))</f>
        <v>43443</v>
      </c>
    </row>
    <row r="6" spans="1:8" ht="57.95" customHeight="1">
      <c r="B6" s="15"/>
      <c r="C6" s="7"/>
      <c r="D6" s="8"/>
      <c r="E6" s="8"/>
      <c r="F6" s="8"/>
      <c r="G6" s="16"/>
      <c r="H6" s="17"/>
    </row>
    <row r="7" spans="1:8" ht="14.1" customHeight="1">
      <c r="B7" s="12">
        <f ca="1">IF(DAY(DecSun1)=1,IF(AND(YEAR(DecSun1+8)=CalendarYear,MONTH(DecSun1+8)=12),DecSun1+8,""),IF(AND(YEAR(DecSun1+15)=CalendarYear,MONTH(DecSun1+15)=12),DecSun1+15,""))</f>
        <v>43444</v>
      </c>
      <c r="C7" s="6">
        <f ca="1">IF(DAY(DecSun1)=1,IF(AND(YEAR(DecSun1+9)=CalendarYear,MONTH(DecSun1+9)=12),DecSun1+9,""),IF(AND(YEAR(DecSun1+16)=CalendarYear,MONTH(DecSun1+16)=12),DecSun1+16,""))</f>
        <v>43445</v>
      </c>
      <c r="D7" s="6">
        <f ca="1">IF(DAY(DecSun1)=1,IF(AND(YEAR(DecSun1+10)=CalendarYear,MONTH(DecSun1+10)=12),DecSun1+10,""),IF(AND(YEAR(DecSun1+17)=CalendarYear,MONTH(DecSun1+17)=12),DecSun1+17,""))</f>
        <v>43446</v>
      </c>
      <c r="E7" s="6">
        <f ca="1">IF(DAY(DecSun1)=1,IF(AND(YEAR(DecSun1+11)=CalendarYear,MONTH(DecSun1+11)=12),DecSun1+11,""),IF(AND(YEAR(DecSun1+18)=CalendarYear,MONTH(DecSun1+18)=12),DecSun1+18,""))</f>
        <v>43447</v>
      </c>
      <c r="F7" s="6">
        <f ca="1">IF(DAY(DecSun1)=1,IF(AND(YEAR(DecSun1+12)=CalendarYear,MONTH(DecSun1+12)=12),DecSun1+12,""),IF(AND(YEAR(DecSun1+19)=CalendarYear,MONTH(DecSun1+19)=12),DecSun1+19,""))</f>
        <v>43448</v>
      </c>
      <c r="G7" s="6">
        <f ca="1">IF(DAY(DecSun1)=1,IF(AND(YEAR(DecSun1+13)=CalendarYear,MONTH(DecSun1+13)=12),DecSun1+13,""),IF(AND(YEAR(DecSun1+20)=CalendarYear,MONTH(DecSun1+20)=12),DecSun1+20,""))</f>
        <v>43449</v>
      </c>
      <c r="H7" s="13">
        <f ca="1">IF(DAY(DecSun1)=1,IF(AND(YEAR(DecSun1+14)=CalendarYear,MONTH(DecSun1+14)=12),DecSun1+14,""),IF(AND(YEAR(DecSun1+21)=CalendarYear,MONTH(DecSun1+21)=12),DecSun1+21,""))</f>
        <v>43450</v>
      </c>
    </row>
    <row r="8" spans="1:8" ht="57.95" customHeight="1">
      <c r="B8" s="15"/>
      <c r="C8" s="7"/>
      <c r="D8" s="8"/>
      <c r="E8" s="8"/>
      <c r="F8" s="8"/>
      <c r="G8" s="16"/>
      <c r="H8" s="17"/>
    </row>
    <row r="9" spans="1:8" ht="14.1" customHeight="1">
      <c r="B9" s="12">
        <f ca="1">IF(DAY(DecSun1)=1,IF(AND(YEAR(DecSun1+15)=CalendarYear,MONTH(DecSun1+15)=12),DecSun1+15,""),IF(AND(YEAR(DecSun1+22)=CalendarYear,MONTH(DecSun1+22)=12),DecSun1+22,""))</f>
        <v>43451</v>
      </c>
      <c r="C9" s="6">
        <f ca="1">IF(DAY(DecSun1)=1,IF(AND(YEAR(DecSun1+16)=CalendarYear,MONTH(DecSun1+16)=12),DecSun1+16,""),IF(AND(YEAR(DecSun1+23)=CalendarYear,MONTH(DecSun1+23)=12),DecSun1+23,""))</f>
        <v>43452</v>
      </c>
      <c r="D9" s="6">
        <f ca="1">IF(DAY(DecSun1)=1,IF(AND(YEAR(DecSun1+17)=CalendarYear,MONTH(DecSun1+17)=12),DecSun1+17,""),IF(AND(YEAR(DecSun1+24)=CalendarYear,MONTH(DecSun1+24)=12),DecSun1+24,""))</f>
        <v>43453</v>
      </c>
      <c r="E9" s="6">
        <f ca="1">IF(DAY(DecSun1)=1,IF(AND(YEAR(DecSun1+18)=CalendarYear,MONTH(DecSun1+18)=12),DecSun1+18,""),IF(AND(YEAR(DecSun1+25)=CalendarYear,MONTH(DecSun1+25)=12),DecSun1+25,""))</f>
        <v>43454</v>
      </c>
      <c r="F9" s="6">
        <f ca="1">IF(DAY(DecSun1)=1,IF(AND(YEAR(DecSun1+19)=CalendarYear,MONTH(DecSun1+19)=12),DecSun1+19,""),IF(AND(YEAR(DecSun1+26)=CalendarYear,MONTH(DecSun1+26)=12),DecSun1+26,""))</f>
        <v>43455</v>
      </c>
      <c r="G9" s="6">
        <f ca="1">IF(DAY(DecSun1)=1,IF(AND(YEAR(DecSun1+20)=CalendarYear,MONTH(DecSun1+20)=12),DecSun1+20,""),IF(AND(YEAR(DecSun1+27)=CalendarYear,MONTH(DecSun1+27)=12),DecSun1+27,""))</f>
        <v>43456</v>
      </c>
      <c r="H9" s="13">
        <f ca="1">IF(DAY(DecSun1)=1,IF(AND(YEAR(DecSun1+21)=CalendarYear,MONTH(DecSun1+21)=12),DecSun1+21,""),IF(AND(YEAR(DecSun1+28)=CalendarYear,MONTH(DecSun1+28)=12),DecSun1+28,""))</f>
        <v>43457</v>
      </c>
    </row>
    <row r="10" spans="1:8" ht="57.95" customHeight="1">
      <c r="B10" s="15"/>
      <c r="C10" s="7"/>
      <c r="D10" s="8"/>
      <c r="E10" s="8"/>
      <c r="F10" s="8"/>
      <c r="G10" s="16"/>
      <c r="H10" s="17"/>
    </row>
    <row r="11" spans="1:8" ht="14.1" customHeight="1">
      <c r="B11" s="12">
        <f ca="1">IF(DAY(DecSun1)=1,IF(AND(YEAR(DecSun1+22)=CalendarYear,MONTH(DecSun1+22)=12),DecSun1+22,""),IF(AND(YEAR(DecSun1+29)=CalendarYear,MONTH(DecSun1+29)=12),DecSun1+29,""))</f>
        <v>43458</v>
      </c>
      <c r="C11" s="6">
        <f ca="1">IF(DAY(DecSun1)=1,IF(AND(YEAR(DecSun1+23)=CalendarYear,MONTH(DecSun1+23)=12),DecSun1+23,""),IF(AND(YEAR(DecSun1+30)=CalendarYear,MONTH(DecSun1+30)=12),DecSun1+30,""))</f>
        <v>43459</v>
      </c>
      <c r="D11" s="6">
        <f ca="1">IF(DAY(DecSun1)=1,IF(AND(YEAR(DecSun1+24)=CalendarYear,MONTH(DecSun1+24)=12),DecSun1+24,""),IF(AND(YEAR(DecSun1+31)=CalendarYear,MONTH(DecSun1+31)=12),DecSun1+31,""))</f>
        <v>43460</v>
      </c>
      <c r="E11" s="6">
        <f ca="1">IF(DAY(DecSun1)=1,IF(AND(YEAR(DecSun1+25)=CalendarYear,MONTH(DecSun1+25)=12),DecSun1+25,""),IF(AND(YEAR(DecSun1+32)=CalendarYear,MONTH(DecSun1+32)=12),DecSun1+32,""))</f>
        <v>43461</v>
      </c>
      <c r="F11" s="6">
        <f ca="1">IF(DAY(DecSun1)=1,IF(AND(YEAR(DecSun1+26)=CalendarYear,MONTH(DecSun1+26)=12),DecSun1+26,""),IF(AND(YEAR(DecSun1+33)=CalendarYear,MONTH(DecSun1+33)=12),DecSun1+33,""))</f>
        <v>43462</v>
      </c>
      <c r="G11" s="6">
        <f ca="1">IF(DAY(DecSun1)=1,IF(AND(YEAR(DecSun1+27)=CalendarYear,MONTH(DecSun1+27)=12),DecSun1+27,""),IF(AND(YEAR(DecSun1+34)=CalendarYear,MONTH(DecSun1+34)=12),DecSun1+34,""))</f>
        <v>43463</v>
      </c>
      <c r="H11" s="13">
        <f ca="1">IF(DAY(DecSun1)=1,IF(AND(YEAR(DecSun1+28)=CalendarYear,MONTH(DecSun1+28)=12),DecSun1+28,""),IF(AND(YEAR(DecSun1+35)=CalendarYear,MONTH(DecSun1+35)=12),DecSun1+35,""))</f>
        <v>43464</v>
      </c>
    </row>
    <row r="12" spans="1:8" ht="57.95" customHeight="1">
      <c r="B12" s="15"/>
      <c r="C12" s="7"/>
      <c r="D12" s="8"/>
      <c r="E12" s="8"/>
      <c r="F12" s="7"/>
      <c r="G12" s="16"/>
      <c r="H12" s="17"/>
    </row>
    <row r="13" spans="1:8" ht="14.1" customHeight="1">
      <c r="B13" s="12">
        <f ca="1">IF(DAY(DecSun1)=1,IF(AND(YEAR(DecSun1+29)=CalendarYear,MONTH(DecSun1+29)=12),DecSun1+29,""),IF(AND(YEAR(DecSun1+36)=CalendarYear,MONTH(DecSun1+36)=12),DecSun1+36,""))</f>
        <v>43465</v>
      </c>
      <c r="C13" s="6" t="str">
        <f ca="1">IF(DAY(DecSun1)=1,IF(AND(YEAR(DecSun1+30)=CalendarYear,MONTH(DecSun1+30)=12),DecSun1+30,""),IF(AND(YEAR(DecSun1+37)=CalendarYear,MONTH(DecSun1+37)=12),DecSun1+37,""))</f>
        <v/>
      </c>
      <c r="D13" s="29" t="s">
        <v>8</v>
      </c>
      <c r="E13" s="29"/>
      <c r="F13" s="29"/>
      <c r="G13" s="29"/>
      <c r="H13" s="30"/>
    </row>
    <row r="14" spans="1:8" ht="57.95" customHeight="1" thickBot="1">
      <c r="B14" s="18"/>
      <c r="C14" s="14"/>
      <c r="D14" s="26"/>
      <c r="E14" s="27"/>
      <c r="F14" s="27"/>
      <c r="G14" s="27"/>
      <c r="H14" s="28"/>
    </row>
  </sheetData>
  <mergeCells count="3">
    <mergeCell ref="B1:H1"/>
    <mergeCell ref="D13:H13"/>
    <mergeCell ref="D14:H14"/>
  </mergeCells>
  <phoneticPr fontId="7" type="noConversion"/>
  <printOptions horizontalCentered="1" verticalCentered="1"/>
  <pageMargins left="0.5" right="0.5" top="0.75" bottom="0.75" header="0.5" footer="0.5"/>
  <headerFooter alignWithMargins="0"/>
</worksheet>
</file>

<file path=xl/worksheets/sheet12.xml><?xml version="1.0" encoding="utf-8"?>
<worksheet xmlns="http://schemas.openxmlformats.org/spreadsheetml/2006/main" xmlns:r="http://schemas.openxmlformats.org/officeDocument/2006/relationships">
  <dimension ref="A1:C12"/>
  <sheetViews>
    <sheetView topLeftCell="A3" workbookViewId="0">
      <selection activeCell="A10" sqref="A10"/>
    </sheetView>
  </sheetViews>
  <sheetFormatPr baseColWidth="10" defaultColWidth="8.75" defaultRowHeight="16.5"/>
  <cols>
    <col min="1" max="1" width="10.375" customWidth="1"/>
    <col min="2" max="2" width="9.375" customWidth="1"/>
    <col min="3" max="3" width="9.75" customWidth="1"/>
    <col min="7" max="7" width="20.125" customWidth="1"/>
  </cols>
  <sheetData>
    <row r="1" spans="1:3">
      <c r="A1" s="21" t="s">
        <v>10</v>
      </c>
    </row>
    <row r="2" spans="1:3">
      <c r="A2">
        <v>2010</v>
      </c>
      <c r="C2" s="4"/>
    </row>
    <row r="3" spans="1:3">
      <c r="A3">
        <v>2011</v>
      </c>
    </row>
    <row r="4" spans="1:3">
      <c r="A4">
        <v>2012</v>
      </c>
    </row>
    <row r="5" spans="1:3">
      <c r="A5">
        <v>2013</v>
      </c>
    </row>
    <row r="6" spans="1:3">
      <c r="A6">
        <v>2014</v>
      </c>
    </row>
    <row r="7" spans="1:3">
      <c r="A7">
        <v>2015</v>
      </c>
    </row>
    <row r="8" spans="1:3">
      <c r="A8" s="5">
        <v>2016</v>
      </c>
    </row>
    <row r="9" spans="1:3">
      <c r="A9" s="5">
        <v>2017</v>
      </c>
    </row>
    <row r="10" spans="1:3">
      <c r="A10" s="5">
        <v>2018</v>
      </c>
    </row>
    <row r="11" spans="1:3">
      <c r="A11" s="5">
        <v>2019</v>
      </c>
    </row>
    <row r="12" spans="1:3">
      <c r="A12" s="5">
        <v>2020</v>
      </c>
    </row>
  </sheetData>
  <phoneticPr fontId="7" type="noConversion"/>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H14"/>
  <sheetViews>
    <sheetView showGridLines="0" tabSelected="1" view="pageBreakPreview" zoomScale="60" zoomScaleNormal="94" zoomScalePageLayoutView="94" workbookViewId="0">
      <selection activeCell="E12" sqref="E12"/>
    </sheetView>
  </sheetViews>
  <sheetFormatPr baseColWidth="10" defaultColWidth="8.75" defaultRowHeight="16.5"/>
  <cols>
    <col min="1" max="1" width="2.375" style="1" customWidth="1"/>
    <col min="2" max="2" width="24.875" customWidth="1"/>
    <col min="3" max="3" width="35.125" customWidth="1"/>
    <col min="4" max="4" width="39.875" customWidth="1"/>
    <col min="5" max="5" width="42.75" customWidth="1"/>
    <col min="6" max="6" width="45" customWidth="1"/>
    <col min="7" max="7" width="72.875" customWidth="1"/>
    <col min="8" max="8" width="56.875" customWidth="1"/>
    <col min="10" max="10" width="13.375" bestFit="1" customWidth="1"/>
    <col min="11" max="11" width="14.75" bestFit="1" customWidth="1"/>
  </cols>
  <sheetData>
    <row r="1" spans="1:8" s="1" customFormat="1" ht="59.25" customHeight="1" thickBot="1">
      <c r="B1" s="25">
        <f ca="1">DATE(CalendarYear,3,1)</f>
        <v>43160</v>
      </c>
      <c r="C1" s="25"/>
      <c r="D1" s="25"/>
      <c r="E1" s="25"/>
      <c r="F1" s="25"/>
      <c r="G1" s="25"/>
      <c r="H1" s="25"/>
    </row>
    <row r="2" spans="1:8" s="3" customFormat="1" ht="21.75" customHeight="1">
      <c r="A2" s="2"/>
      <c r="B2" s="9" t="s">
        <v>0</v>
      </c>
      <c r="C2" s="10" t="s">
        <v>1</v>
      </c>
      <c r="D2" s="10" t="s">
        <v>2</v>
      </c>
      <c r="E2" s="10" t="s">
        <v>3</v>
      </c>
      <c r="F2" s="10" t="s">
        <v>4</v>
      </c>
      <c r="G2" s="10" t="s">
        <v>5</v>
      </c>
      <c r="H2" s="11" t="s">
        <v>6</v>
      </c>
    </row>
    <row r="3" spans="1:8" ht="14.1" customHeight="1">
      <c r="B3" s="12">
        <v>26</v>
      </c>
      <c r="C3" s="6">
        <v>27</v>
      </c>
      <c r="D3" s="6">
        <v>28</v>
      </c>
      <c r="E3" s="6">
        <f ca="1">IF(DAY(MarSun1)=1,"",IF(AND(YEAR(MarSun1+4)=CalendarYear,MONTH(MarSun1+4)=3),MarSun1+4,""))</f>
        <v>43160</v>
      </c>
      <c r="F3" s="6">
        <f ca="1">IF(DAY(MarSun1)=1,"",IF(AND(YEAR(MarSun1+5)=CalendarYear,MONTH(MarSun1+5)=3),MarSun1+5,""))</f>
        <v>43161</v>
      </c>
      <c r="G3" s="6">
        <f ca="1">IF(DAY(MarSun1)=1,"",IF(AND(YEAR(MarSun1+6)=CalendarYear,MONTH(MarSun1+6)=3),MarSun1+6,""))</f>
        <v>43162</v>
      </c>
      <c r="H3" s="13">
        <f ca="1">IF(DAY(MarSun1)=1,IF(AND(YEAR(MarSun1)=CalendarYear,MONTH(MarSun1)=3),MarSun1,""),IF(AND(YEAR(MarSun1+7)=CalendarYear,MONTH(MarSun1+7)=3),MarSun1+7,""))</f>
        <v>43163</v>
      </c>
    </row>
    <row r="4" spans="1:8" ht="273.95" customHeight="1">
      <c r="B4" s="15" t="s">
        <v>11</v>
      </c>
      <c r="C4" s="7"/>
      <c r="D4" s="8" t="s">
        <v>28</v>
      </c>
      <c r="E4" s="8" t="s">
        <v>12</v>
      </c>
      <c r="F4" s="8" t="s">
        <v>29</v>
      </c>
      <c r="G4" s="16" t="s">
        <v>13</v>
      </c>
      <c r="H4" s="17" t="s">
        <v>14</v>
      </c>
    </row>
    <row r="5" spans="1:8" ht="14.1" customHeight="1">
      <c r="B5" s="12">
        <f ca="1">IF(DAY(MarSun1)=1,IF(AND(YEAR(MarSun1+1)=CalendarYear,MONTH(MarSun1+1)=3),MarSun1+1,""),IF(AND(YEAR(MarSun1+8)=CalendarYear,MONTH(MarSun1+8)=3),MarSun1+8,""))</f>
        <v>43164</v>
      </c>
      <c r="C5" s="6">
        <f ca="1">IF(DAY(MarSun1)=1,IF(AND(YEAR(MarSun1+2)=CalendarYear,MONTH(MarSun1+2)=3),MarSun1+2,""),IF(AND(YEAR(MarSun1+9)=CalendarYear,MONTH(MarSun1+9)=3),MarSun1+9,""))</f>
        <v>43165</v>
      </c>
      <c r="D5" s="6">
        <f ca="1">IF(DAY(MarSun1)=1,IF(AND(YEAR(MarSun1+3)=CalendarYear,MONTH(MarSun1+3)=3),MarSun1+3,""),IF(AND(YEAR(MarSun1+10)=CalendarYear,MONTH(MarSun1+10)=3),MarSun1+10,""))</f>
        <v>43166</v>
      </c>
      <c r="E5" s="6">
        <f ca="1">IF(DAY(MarSun1)=1,IF(AND(YEAR(MarSun1+4)=CalendarYear,MONTH(MarSun1+4)=3),MarSun1+4,""),IF(AND(YEAR(MarSun1+11)=CalendarYear,MONTH(MarSun1+11)=3),MarSun1+11,""))</f>
        <v>43167</v>
      </c>
      <c r="F5" s="6">
        <v>9</v>
      </c>
      <c r="G5" s="6">
        <v>10</v>
      </c>
      <c r="H5" s="13">
        <f ca="1">IF(DAY(MarSun1)=1,IF(AND(YEAR(MarSun1+7)=CalendarYear,MONTH(MarSun1+7)=3),MarSun1+7,""),IF(AND(YEAR(MarSun1+14)=CalendarYear,MONTH(MarSun1+14)=3),MarSun1+14,""))</f>
        <v>43170</v>
      </c>
    </row>
    <row r="6" spans="1:8" ht="408.95" customHeight="1">
      <c r="B6" s="15"/>
      <c r="C6" s="7" t="s">
        <v>30</v>
      </c>
      <c r="D6" s="8" t="s">
        <v>31</v>
      </c>
      <c r="E6" s="8" t="s">
        <v>32</v>
      </c>
      <c r="F6" s="8" t="s">
        <v>33</v>
      </c>
      <c r="G6" s="16" t="s">
        <v>34</v>
      </c>
      <c r="H6" s="22" t="s">
        <v>38</v>
      </c>
    </row>
    <row r="7" spans="1:8" ht="14.1" customHeight="1">
      <c r="B7" s="12">
        <f ca="1">IF(DAY(MarSun1)=1,IF(AND(YEAR(MarSun1+8)=CalendarYear,MONTH(MarSun1+8)=3),MarSun1+8,""),IF(AND(YEAR(MarSun1+15)=CalendarYear,MONTH(MarSun1+15)=3),MarSun1+15,""))</f>
        <v>43171</v>
      </c>
      <c r="C7" s="6">
        <f ca="1">IF(DAY(MarSun1)=1,IF(AND(YEAR(MarSun1+9)=CalendarYear,MONTH(MarSun1+9)=3),MarSun1+9,""),IF(AND(YEAR(MarSun1+16)=CalendarYear,MONTH(MarSun1+16)=3),MarSun1+16,""))</f>
        <v>43172</v>
      </c>
      <c r="D7" s="6">
        <f ca="1">IF(DAY(MarSun1)=1,IF(AND(YEAR(MarSun1+10)=CalendarYear,MONTH(MarSun1+10)=3),MarSun1+10,""),IF(AND(YEAR(MarSun1+17)=CalendarYear,MONTH(MarSun1+17)=3),MarSun1+17,""))</f>
        <v>43173</v>
      </c>
      <c r="E7" s="6">
        <f ca="1">IF(DAY(MarSun1)=1,IF(AND(YEAR(MarSun1+11)=CalendarYear,MONTH(MarSun1+11)=3),MarSun1+11,""),IF(AND(YEAR(MarSun1+18)=CalendarYear,MONTH(MarSun1+18)=3),MarSun1+18,""))</f>
        <v>43174</v>
      </c>
      <c r="F7" s="6">
        <v>16</v>
      </c>
      <c r="G7" s="6">
        <v>17</v>
      </c>
      <c r="H7" s="13">
        <f ca="1">IF(DAY(MarSun1)=1,IF(AND(YEAR(MarSun1+14)=CalendarYear,MONTH(MarSun1+14)=3),MarSun1+14,""),IF(AND(YEAR(MarSun1+21)=CalendarYear,MONTH(MarSun1+21)=3),MarSun1+21,""))</f>
        <v>43177</v>
      </c>
    </row>
    <row r="8" spans="1:8" ht="408.95" customHeight="1">
      <c r="B8" s="15" t="s">
        <v>15</v>
      </c>
      <c r="C8" s="7" t="s">
        <v>27</v>
      </c>
      <c r="D8" s="8" t="s">
        <v>26</v>
      </c>
      <c r="E8" s="8" t="s">
        <v>25</v>
      </c>
      <c r="F8" s="8" t="s">
        <v>24</v>
      </c>
      <c r="G8" s="23" t="s">
        <v>23</v>
      </c>
      <c r="H8" s="22" t="s">
        <v>35</v>
      </c>
    </row>
    <row r="9" spans="1:8" ht="14.1" customHeight="1">
      <c r="B9" s="12">
        <f ca="1">IF(DAY(MarSun1)=1,IF(AND(YEAR(MarSun1+15)=CalendarYear,MONTH(MarSun1+15)=3),MarSun1+15,""),IF(AND(YEAR(MarSun1+22)=CalendarYear,MONTH(MarSun1+22)=3),MarSun1+22,""))</f>
        <v>43178</v>
      </c>
      <c r="C9" s="6">
        <f ca="1">IF(DAY(MarSun1)=1,IF(AND(YEAR(MarSun1+16)=CalendarYear,MONTH(MarSun1+16)=3),MarSun1+16,""),IF(AND(YEAR(MarSun1+23)=CalendarYear,MONTH(MarSun1+23)=3),MarSun1+23,""))</f>
        <v>43179</v>
      </c>
      <c r="D9" s="6">
        <f ca="1">IF(DAY(MarSun1)=1,IF(AND(YEAR(MarSun1+17)=CalendarYear,MONTH(MarSun1+17)=3),MarSun1+17,""),IF(AND(YEAR(MarSun1+24)=CalendarYear,MONTH(MarSun1+24)=3),MarSun1+24,""))</f>
        <v>43180</v>
      </c>
      <c r="E9" s="6">
        <f ca="1">IF(DAY(MarSun1)=1,IF(AND(YEAR(MarSun1+18)=CalendarYear,MONTH(MarSun1+18)=3),MarSun1+18,""),IF(AND(YEAR(MarSun1+25)=CalendarYear,MONTH(MarSun1+25)=3),MarSun1+25,""))</f>
        <v>43181</v>
      </c>
      <c r="F9" s="6">
        <v>23</v>
      </c>
      <c r="G9" s="6">
        <f ca="1">IF(DAY(MarSun1)=1,IF(AND(YEAR(MarSun1+20)=CalendarYear,MONTH(MarSun1+20)=3),MarSun1+20,""),IF(AND(YEAR(MarSun1+27)=CalendarYear,MONTH(MarSun1+27)=3),MarSun1+27,""))</f>
        <v>43183</v>
      </c>
      <c r="H9" s="13">
        <f ca="1">IF(DAY(MarSun1)=1,IF(AND(YEAR(MarSun1+21)=CalendarYear,MONTH(MarSun1+21)=3),MarSun1+21,""),IF(AND(YEAR(MarSun1+28)=CalendarYear,MONTH(MarSun1+28)=3),MarSun1+28,""))</f>
        <v>43184</v>
      </c>
    </row>
    <row r="10" spans="1:8" ht="408.95" customHeight="1">
      <c r="B10" s="15"/>
      <c r="C10" s="7" t="s">
        <v>22</v>
      </c>
      <c r="D10" s="8" t="s">
        <v>21</v>
      </c>
      <c r="E10" s="8" t="s">
        <v>20</v>
      </c>
      <c r="F10" s="8" t="s">
        <v>19</v>
      </c>
      <c r="G10" s="24" t="s">
        <v>36</v>
      </c>
      <c r="H10" s="17" t="s">
        <v>37</v>
      </c>
    </row>
    <row r="11" spans="1:8" ht="14.1" customHeight="1">
      <c r="B11" s="12">
        <f ca="1">IF(DAY(MarSun1)=1,IF(AND(YEAR(MarSun1+22)=CalendarYear,MONTH(MarSun1+22)=3),MarSun1+22,""),IF(AND(YEAR(MarSun1+29)=CalendarYear,MONTH(MarSun1+29)=3),MarSun1+29,""))</f>
        <v>43185</v>
      </c>
      <c r="C11" s="6">
        <f ca="1">IF(DAY(MarSun1)=1,IF(AND(YEAR(MarSun1+23)=CalendarYear,MONTH(MarSun1+23)=3),MarSun1+23,""),IF(AND(YEAR(MarSun1+30)=CalendarYear,MONTH(MarSun1+30)=3),MarSun1+30,""))</f>
        <v>43186</v>
      </c>
      <c r="D11" s="6">
        <f ca="1">IF(DAY(MarSun1)=1,IF(AND(YEAR(MarSun1+24)=CalendarYear,MONTH(MarSun1+24)=3),MarSun1+24,""),IF(AND(YEAR(MarSun1+31)=CalendarYear,MONTH(MarSun1+31)=3),MarSun1+31,""))</f>
        <v>43187</v>
      </c>
      <c r="E11" s="6">
        <f ca="1">IF(DAY(MarSun1)=1,IF(AND(YEAR(MarSun1+25)=CalendarYear,MONTH(MarSun1+25)=3),MarSun1+25,""),IF(AND(YEAR(MarSun1+32)=CalendarYear,MONTH(MarSun1+32)=3),MarSun1+32,""))</f>
        <v>43188</v>
      </c>
      <c r="F11" s="6">
        <f ca="1">IF(DAY(MarSun1)=1,IF(AND(YEAR(MarSun1+26)=CalendarYear,MONTH(MarSun1+26)=3),MarSun1+26,""),IF(AND(YEAR(MarSun1+33)=CalendarYear,MONTH(MarSun1+33)=3),MarSun1+33,""))</f>
        <v>43189</v>
      </c>
      <c r="G11" s="6">
        <f ca="1">IF(DAY(MarSun1)=1,IF(AND(YEAR(MarSun1+27)=CalendarYear,MONTH(MarSun1+27)=3),MarSun1+27,""),IF(AND(YEAR(MarSun1+34)=CalendarYear,MONTH(MarSun1+34)=3),MarSun1+34,""))</f>
        <v>43190</v>
      </c>
      <c r="H11" s="13" t="str">
        <f ca="1">IF(DAY(MarSun1)=1,IF(AND(YEAR(MarSun1+28)=CalendarYear,MONTH(MarSun1+28)=3),MarSun1+28,""),IF(AND(YEAR(MarSun1+35)=CalendarYear,MONTH(MarSun1+35)=3),MarSun1+35,""))</f>
        <v/>
      </c>
    </row>
    <row r="12" spans="1:8" ht="288.95" customHeight="1">
      <c r="B12" s="15" t="s">
        <v>16</v>
      </c>
      <c r="C12" s="7" t="s">
        <v>18</v>
      </c>
      <c r="D12" s="8" t="s">
        <v>17</v>
      </c>
      <c r="E12" s="8"/>
      <c r="F12" s="7"/>
      <c r="G12" s="16"/>
      <c r="H12" s="17"/>
    </row>
    <row r="13" spans="1:8" ht="14.1" customHeight="1">
      <c r="B13" s="12" t="str">
        <f ca="1">IF(DAY(MarSun1)=1,IF(AND(YEAR(MarSun1+29)=CalendarYear,MONTH(MarSun1+29)=3),MarSun1+29,""),IF(AND(YEAR(MarSun1+36)=CalendarYear,MONTH(MarSun1+36)=3),MarSun1+36,""))</f>
        <v/>
      </c>
      <c r="C13" s="6" t="str">
        <f ca="1">IF(DAY(MarSun1)=1,IF(AND(YEAR(MarSun1+30)=CalendarYear,MONTH(MarSun1+30)=3),MarSun1+30,""),IF(AND(YEAR(MarSun1+37)=CalendarYear,MONTH(MarSun1+37)=3),MarSun1+37,""))</f>
        <v/>
      </c>
      <c r="D13" s="29" t="s">
        <v>8</v>
      </c>
      <c r="E13" s="29"/>
      <c r="F13" s="29"/>
      <c r="G13" s="29"/>
      <c r="H13" s="30"/>
    </row>
    <row r="14" spans="1:8" ht="57.95" customHeight="1" thickBot="1">
      <c r="B14" s="18"/>
      <c r="C14" s="14"/>
      <c r="D14" s="26"/>
      <c r="E14" s="27"/>
      <c r="F14" s="27"/>
      <c r="G14" s="27"/>
      <c r="H14" s="28"/>
    </row>
  </sheetData>
  <mergeCells count="3">
    <mergeCell ref="B1:H1"/>
    <mergeCell ref="D13:H13"/>
    <mergeCell ref="D14:H14"/>
  </mergeCells>
  <phoneticPr fontId="7" type="noConversion"/>
  <printOptions horizontalCentered="1" verticalCentered="1"/>
  <pageMargins left="0" right="0" top="0" bottom="0" header="0" footer="0"/>
  <pageSetup paperSize="9" scale="32" fitToWidth="2" pageOrder="overThenDown" orientation="landscape" horizontalDpi="4294967292" verticalDpi="4294967292" r:id="rId1"/>
  <headerFooter alignWithMargins="0"/>
  <rowBreaks count="1" manualBreakCount="1">
    <brk id="5" max="16383"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H14"/>
  <sheetViews>
    <sheetView showGridLines="0" workbookViewId="0">
      <selection activeCell="D13" sqref="D13:H13"/>
    </sheetView>
  </sheetViews>
  <sheetFormatPr baseColWidth="10" defaultColWidth="8.75" defaultRowHeight="16.5"/>
  <cols>
    <col min="1" max="1" width="2.375" style="1" customWidth="1"/>
    <col min="2" max="8" width="17.375" customWidth="1"/>
    <col min="10" max="10" width="13.375" bestFit="1" customWidth="1"/>
    <col min="11" max="11" width="14.75" bestFit="1" customWidth="1"/>
  </cols>
  <sheetData>
    <row r="1" spans="1:8" s="1" customFormat="1" ht="59.25" customHeight="1" thickBot="1">
      <c r="B1" s="25">
        <f ca="1">DATE(CalendarYear,4,1)</f>
        <v>43191</v>
      </c>
      <c r="C1" s="25"/>
      <c r="D1" s="25"/>
      <c r="E1" s="25"/>
      <c r="F1" s="25"/>
      <c r="G1" s="25"/>
      <c r="H1" s="25"/>
    </row>
    <row r="2" spans="1:8" s="3" customFormat="1" ht="21.75" customHeight="1">
      <c r="A2" s="2"/>
      <c r="B2" s="9" t="s">
        <v>0</v>
      </c>
      <c r="C2" s="10" t="s">
        <v>1</v>
      </c>
      <c r="D2" s="10" t="s">
        <v>2</v>
      </c>
      <c r="E2" s="10" t="s">
        <v>3</v>
      </c>
      <c r="F2" s="10" t="s">
        <v>4</v>
      </c>
      <c r="G2" s="10" t="s">
        <v>5</v>
      </c>
      <c r="H2" s="11" t="s">
        <v>6</v>
      </c>
    </row>
    <row r="3" spans="1:8" ht="14.1" customHeight="1">
      <c r="B3" s="12" t="str">
        <f ca="1">IF(DAY(AprSun1)=1,"",IF(AND(YEAR(AprSun1+1)=CalendarYear,MONTH(AprSun1+1)=4),AprSun1+1,""))</f>
        <v/>
      </c>
      <c r="C3" s="6" t="str">
        <f ca="1">IF(DAY(AprSun1)=1,"",IF(AND(YEAR(AprSun1+2)=CalendarYear,MONTH(AprSun1+2)=4),AprSun1+2,""))</f>
        <v/>
      </c>
      <c r="D3" s="6" t="str">
        <f ca="1">IF(DAY(AprSun1)=1,"",IF(AND(YEAR(AprSun1+3)=CalendarYear,MONTH(AprSun1+3)=4),AprSun1+3,""))</f>
        <v/>
      </c>
      <c r="E3" s="6" t="str">
        <f ca="1">IF(DAY(AprSun1)=1,"",IF(AND(YEAR(AprSun1+4)=CalendarYear,MONTH(AprSun1+4)=4),AprSun1+4,""))</f>
        <v/>
      </c>
      <c r="F3" s="6" t="str">
        <f ca="1">IF(DAY(AprSun1)=1,"",IF(AND(YEAR(AprSun1+5)=CalendarYear,MONTH(AprSun1+5)=4),AprSun1+5,""))</f>
        <v/>
      </c>
      <c r="G3" s="6" t="str">
        <f ca="1">IF(DAY(AprSun1)=1,"",IF(AND(YEAR(AprSun1+6)=CalendarYear,MONTH(AprSun1+6)=4),AprSun1+6,""))</f>
        <v/>
      </c>
      <c r="H3" s="13">
        <f ca="1">IF(DAY(AprSun1)=1,IF(AND(YEAR(AprSun1)=CalendarYear,MONTH(AprSun1)=4),AprSun1,""),IF(AND(YEAR(AprSun1+7)=CalendarYear,MONTH(AprSun1+7)=4),AprSun1+7,""))</f>
        <v>43191</v>
      </c>
    </row>
    <row r="4" spans="1:8" ht="57.95" customHeight="1">
      <c r="B4" s="15"/>
      <c r="C4" s="7"/>
      <c r="D4" s="8"/>
      <c r="E4" s="8"/>
      <c r="F4" s="8"/>
      <c r="G4" s="16"/>
      <c r="H4" s="17"/>
    </row>
    <row r="5" spans="1:8" ht="14.1" customHeight="1">
      <c r="B5" s="12">
        <f ca="1">IF(DAY(AprSun1)=1,IF(AND(YEAR(AprSun1+1)=CalendarYear,MONTH(AprSun1+1)=4),AprSun1+1,""),IF(AND(YEAR(AprSun1+8)=CalendarYear,MONTH(AprSun1+8)=4),AprSun1+8,""))</f>
        <v>43192</v>
      </c>
      <c r="C5" s="6">
        <f ca="1">IF(DAY(AprSun1)=1,IF(AND(YEAR(AprSun1+2)=CalendarYear,MONTH(AprSun1+2)=4),AprSun1+2,""),IF(AND(YEAR(AprSun1+9)=CalendarYear,MONTH(AprSun1+9)=4),AprSun1+9,""))</f>
        <v>43193</v>
      </c>
      <c r="D5" s="6">
        <f ca="1">IF(DAY(AprSun1)=1,IF(AND(YEAR(AprSun1+3)=CalendarYear,MONTH(AprSun1+3)=4),AprSun1+3,""),IF(AND(YEAR(AprSun1+10)=CalendarYear,MONTH(AprSun1+10)=4),AprSun1+10,""))</f>
        <v>43194</v>
      </c>
      <c r="E5" s="6">
        <f ca="1">IF(DAY(AprSun1)=1,IF(AND(YEAR(AprSun1+4)=CalendarYear,MONTH(AprSun1+4)=4),AprSun1+4,""),IF(AND(YEAR(AprSun1+11)=CalendarYear,MONTH(AprSun1+11)=4),AprSun1+11,""))</f>
        <v>43195</v>
      </c>
      <c r="F5" s="6">
        <f ca="1">IF(DAY(AprSun1)=1,IF(AND(YEAR(AprSun1+5)=CalendarYear,MONTH(AprSun1+5)=4),AprSun1+5,""),IF(AND(YEAR(AprSun1+12)=CalendarYear,MONTH(AprSun1+12)=4),AprSun1+12,""))</f>
        <v>43196</v>
      </c>
      <c r="G5" s="6">
        <f ca="1">IF(DAY(AprSun1)=1,IF(AND(YEAR(AprSun1+6)=CalendarYear,MONTH(AprSun1+6)=4),AprSun1+6,""),IF(AND(YEAR(AprSun1+13)=CalendarYear,MONTH(AprSun1+13)=4),AprSun1+13,""))</f>
        <v>43197</v>
      </c>
      <c r="H5" s="13">
        <f ca="1">IF(DAY(AprSun1)=1,IF(AND(YEAR(AprSun1+7)=CalendarYear,MONTH(AprSun1+7)=4),AprSun1+7,""),IF(AND(YEAR(AprSun1+14)=CalendarYear,MONTH(AprSun1+14)=4),AprSun1+14,""))</f>
        <v>43198</v>
      </c>
    </row>
    <row r="6" spans="1:8" ht="57.95" customHeight="1">
      <c r="B6" s="15"/>
      <c r="C6" s="7"/>
      <c r="D6" s="8"/>
      <c r="E6" s="8"/>
      <c r="F6" s="8"/>
      <c r="G6" s="16"/>
      <c r="H6" s="17"/>
    </row>
    <row r="7" spans="1:8" ht="14.1" customHeight="1">
      <c r="B7" s="12">
        <f ca="1">IF(DAY(AprSun1)=1,IF(AND(YEAR(AprSun1+8)=CalendarYear,MONTH(AprSun1+8)=4),AprSun1+8,""),IF(AND(YEAR(AprSun1+15)=CalendarYear,MONTH(AprSun1+15)=4),AprSun1+15,""))</f>
        <v>43199</v>
      </c>
      <c r="C7" s="6">
        <f ca="1">IF(DAY(AprSun1)=1,IF(AND(YEAR(AprSun1+9)=CalendarYear,MONTH(AprSun1+9)=4),AprSun1+9,""),IF(AND(YEAR(AprSun1+16)=CalendarYear,MONTH(AprSun1+16)=4),AprSun1+16,""))</f>
        <v>43200</v>
      </c>
      <c r="D7" s="6">
        <f ca="1">IF(DAY(AprSun1)=1,IF(AND(YEAR(AprSun1+10)=CalendarYear,MONTH(AprSun1+10)=4),AprSun1+10,""),IF(AND(YEAR(AprSun1+17)=CalendarYear,MONTH(AprSun1+17)=4),AprSun1+17,""))</f>
        <v>43201</v>
      </c>
      <c r="E7" s="6">
        <f ca="1">IF(DAY(AprSun1)=1,IF(AND(YEAR(AprSun1+11)=CalendarYear,MONTH(AprSun1+11)=4),AprSun1+11,""),IF(AND(YEAR(AprSun1+18)=CalendarYear,MONTH(AprSun1+18)=4),AprSun1+18,""))</f>
        <v>43202</v>
      </c>
      <c r="F7" s="6">
        <f ca="1">IF(DAY(AprSun1)=1,IF(AND(YEAR(AprSun1+12)=CalendarYear,MONTH(AprSun1+12)=4),AprSun1+12,""),IF(AND(YEAR(AprSun1+19)=CalendarYear,MONTH(AprSun1+19)=4),AprSun1+19,""))</f>
        <v>43203</v>
      </c>
      <c r="G7" s="6">
        <f ca="1">IF(DAY(AprSun1)=1,IF(AND(YEAR(AprSun1+13)=CalendarYear,MONTH(AprSun1+13)=4),AprSun1+13,""),IF(AND(YEAR(AprSun1+20)=CalendarYear,MONTH(AprSun1+20)=4),AprSun1+20,""))</f>
        <v>43204</v>
      </c>
      <c r="H7" s="13">
        <f ca="1">IF(DAY(AprSun1)=1,IF(AND(YEAR(AprSun1+14)=CalendarYear,MONTH(AprSun1+14)=4),AprSun1+14,""),IF(AND(YEAR(AprSun1+21)=CalendarYear,MONTH(AprSun1+21)=4),AprSun1+21,""))</f>
        <v>43205</v>
      </c>
    </row>
    <row r="8" spans="1:8" ht="57.95" customHeight="1">
      <c r="B8" s="15"/>
      <c r="C8" s="7"/>
      <c r="D8" s="8"/>
      <c r="E8" s="8"/>
      <c r="F8" s="8"/>
      <c r="G8" s="16"/>
      <c r="H8" s="17"/>
    </row>
    <row r="9" spans="1:8" ht="14.1" customHeight="1">
      <c r="B9" s="12">
        <f ca="1">IF(DAY(AprSun1)=1,IF(AND(YEAR(AprSun1+15)=CalendarYear,MONTH(AprSun1+15)=4),AprSun1+15,""),IF(AND(YEAR(AprSun1+22)=CalendarYear,MONTH(AprSun1+22)=4),AprSun1+22,""))</f>
        <v>43206</v>
      </c>
      <c r="C9" s="6">
        <f ca="1">IF(DAY(AprSun1)=1,IF(AND(YEAR(AprSun1+16)=CalendarYear,MONTH(AprSun1+16)=4),AprSun1+16,""),IF(AND(YEAR(AprSun1+23)=CalendarYear,MONTH(AprSun1+23)=4),AprSun1+23,""))</f>
        <v>43207</v>
      </c>
      <c r="D9" s="6">
        <f ca="1">IF(DAY(AprSun1)=1,IF(AND(YEAR(AprSun1+17)=CalendarYear,MONTH(AprSun1+17)=4),AprSun1+17,""),IF(AND(YEAR(AprSun1+24)=CalendarYear,MONTH(AprSun1+24)=4),AprSun1+24,""))</f>
        <v>43208</v>
      </c>
      <c r="E9" s="6">
        <f ca="1">IF(DAY(AprSun1)=1,IF(AND(YEAR(AprSun1+18)=CalendarYear,MONTH(AprSun1+18)=4),AprSun1+18,""),IF(AND(YEAR(AprSun1+25)=CalendarYear,MONTH(AprSun1+25)=4),AprSun1+25,""))</f>
        <v>43209</v>
      </c>
      <c r="F9" s="6">
        <f ca="1">IF(DAY(AprSun1)=1,IF(AND(YEAR(AprSun1+19)=CalendarYear,MONTH(AprSun1+19)=4),AprSun1+19,""),IF(AND(YEAR(AprSun1+26)=CalendarYear,MONTH(AprSun1+26)=4),AprSun1+26,""))</f>
        <v>43210</v>
      </c>
      <c r="G9" s="6">
        <f ca="1">IF(DAY(AprSun1)=1,IF(AND(YEAR(AprSun1+20)=CalendarYear,MONTH(AprSun1+20)=4),AprSun1+20,""),IF(AND(YEAR(AprSun1+27)=CalendarYear,MONTH(AprSun1+27)=4),AprSun1+27,""))</f>
        <v>43211</v>
      </c>
      <c r="H9" s="13">
        <f ca="1">IF(DAY(AprSun1)=1,IF(AND(YEAR(AprSun1+21)=CalendarYear,MONTH(AprSun1+21)=4),AprSun1+21,""),IF(AND(YEAR(AprSun1+28)=CalendarYear,MONTH(AprSun1+28)=4),AprSun1+28,""))</f>
        <v>43212</v>
      </c>
    </row>
    <row r="10" spans="1:8" ht="57.95" customHeight="1">
      <c r="B10" s="15"/>
      <c r="C10" s="7"/>
      <c r="D10" s="8"/>
      <c r="E10" s="8"/>
      <c r="F10" s="8"/>
      <c r="G10" s="16"/>
      <c r="H10" s="17"/>
    </row>
    <row r="11" spans="1:8" ht="14.1" customHeight="1">
      <c r="B11" s="12">
        <f ca="1">IF(DAY(AprSun1)=1,IF(AND(YEAR(AprSun1+22)=CalendarYear,MONTH(AprSun1+22)=4),AprSun1+22,""),IF(AND(YEAR(AprSun1+29)=CalendarYear,MONTH(AprSun1+29)=4),AprSun1+29,""))</f>
        <v>43213</v>
      </c>
      <c r="C11" s="6">
        <f ca="1">IF(DAY(AprSun1)=1,IF(AND(YEAR(AprSun1+23)=CalendarYear,MONTH(AprSun1+23)=4),AprSun1+23,""),IF(AND(YEAR(AprSun1+30)=CalendarYear,MONTH(AprSun1+30)=4),AprSun1+30,""))</f>
        <v>43214</v>
      </c>
      <c r="D11" s="6">
        <f ca="1">IF(DAY(AprSun1)=1,IF(AND(YEAR(AprSun1+24)=CalendarYear,MONTH(AprSun1+24)=4),AprSun1+24,""),IF(AND(YEAR(AprSun1+31)=CalendarYear,MONTH(AprSun1+31)=4),AprSun1+31,""))</f>
        <v>43215</v>
      </c>
      <c r="E11" s="6">
        <f ca="1">IF(DAY(AprSun1)=1,IF(AND(YEAR(AprSun1+25)=CalendarYear,MONTH(AprSun1+25)=4),AprSun1+25,""),IF(AND(YEAR(AprSun1+32)=CalendarYear,MONTH(AprSun1+32)=4),AprSun1+32,""))</f>
        <v>43216</v>
      </c>
      <c r="F11" s="6">
        <f ca="1">IF(DAY(AprSun1)=1,IF(AND(YEAR(AprSun1+26)=CalendarYear,MONTH(AprSun1+26)=4),AprSun1+26,""),IF(AND(YEAR(AprSun1+33)=CalendarYear,MONTH(AprSun1+33)=4),AprSun1+33,""))</f>
        <v>43217</v>
      </c>
      <c r="G11" s="6">
        <f ca="1">IF(DAY(AprSun1)=1,IF(AND(YEAR(AprSun1+27)=CalendarYear,MONTH(AprSun1+27)=4),AprSun1+27,""),IF(AND(YEAR(AprSun1+34)=CalendarYear,MONTH(AprSun1+34)=4),AprSun1+34,""))</f>
        <v>43218</v>
      </c>
      <c r="H11" s="13">
        <f ca="1">IF(DAY(AprSun1)=1,IF(AND(YEAR(AprSun1+28)=CalendarYear,MONTH(AprSun1+28)=4),AprSun1+28,""),IF(AND(YEAR(AprSun1+35)=CalendarYear,MONTH(AprSun1+35)=4),AprSun1+35,""))</f>
        <v>43219</v>
      </c>
    </row>
    <row r="12" spans="1:8" ht="57.95" customHeight="1">
      <c r="B12" s="15"/>
      <c r="C12" s="7"/>
      <c r="D12" s="8"/>
      <c r="E12" s="8"/>
      <c r="F12" s="7"/>
      <c r="G12" s="16"/>
      <c r="H12" s="17"/>
    </row>
    <row r="13" spans="1:8" ht="14.1" customHeight="1">
      <c r="B13" s="12">
        <f ca="1">IF(DAY(AprSun1)=1,IF(AND(YEAR(AprSun1+29)=CalendarYear,MONTH(AprSun1+29)=4),AprSun1+29,""),IF(AND(YEAR(AprSun1+36)=CalendarYear,MONTH(AprSun1+36)=4),AprSun1+36,""))</f>
        <v>43220</v>
      </c>
      <c r="C13" s="6" t="str">
        <f ca="1">IF(DAY(AprSun1)=1,IF(AND(YEAR(AprSun1+30)=CalendarYear,MONTH(AprSun1+30)=4),AprSun1+30,""),IF(AND(YEAR(AprSun1+37)=CalendarYear,MONTH(AprSun1+37)=4),AprSun1+37,""))</f>
        <v/>
      </c>
      <c r="D13" s="29" t="s">
        <v>8</v>
      </c>
      <c r="E13" s="29"/>
      <c r="F13" s="29"/>
      <c r="G13" s="29"/>
      <c r="H13" s="30"/>
    </row>
    <row r="14" spans="1:8" ht="57.95" customHeight="1" thickBot="1">
      <c r="B14" s="18"/>
      <c r="C14" s="14"/>
      <c r="D14" s="26"/>
      <c r="E14" s="27"/>
      <c r="F14" s="27"/>
      <c r="G14" s="27"/>
      <c r="H14" s="28"/>
    </row>
  </sheetData>
  <mergeCells count="3">
    <mergeCell ref="B1:H1"/>
    <mergeCell ref="D13:H13"/>
    <mergeCell ref="D14:H14"/>
  </mergeCells>
  <phoneticPr fontId="7" type="noConversion"/>
  <printOptions horizontalCentered="1" verticalCentered="1"/>
  <pageMargins left="0.5" right="0.5" top="0.75" bottom="0.75" header="0.5" footer="0.5"/>
  <headerFooter alignWithMargins="0"/>
</worksheet>
</file>

<file path=xl/worksheets/sheet4.xml><?xml version="1.0" encoding="utf-8"?>
<worksheet xmlns="http://schemas.openxmlformats.org/spreadsheetml/2006/main" xmlns:r="http://schemas.openxmlformats.org/officeDocument/2006/relationships">
  <sheetPr enableFormatConditionsCalculation="0">
    <pageSetUpPr fitToPage="1"/>
  </sheetPr>
  <dimension ref="A1:H14"/>
  <sheetViews>
    <sheetView showGridLines="0" workbookViewId="0">
      <selection activeCell="D13" sqref="D13:H13"/>
    </sheetView>
  </sheetViews>
  <sheetFormatPr baseColWidth="10" defaultColWidth="8.75" defaultRowHeight="16.5"/>
  <cols>
    <col min="1" max="1" width="2.375" style="1" customWidth="1"/>
    <col min="2" max="8" width="17.375" customWidth="1"/>
    <col min="10" max="10" width="13.375" bestFit="1" customWidth="1"/>
    <col min="11" max="11" width="14.75" bestFit="1" customWidth="1"/>
  </cols>
  <sheetData>
    <row r="1" spans="1:8" s="1" customFormat="1" ht="59.25" customHeight="1" thickBot="1">
      <c r="B1" s="25">
        <f ca="1">DATE(CalendarYear,5,1)</f>
        <v>43221</v>
      </c>
      <c r="C1" s="25"/>
      <c r="D1" s="25"/>
      <c r="E1" s="25"/>
      <c r="F1" s="25"/>
      <c r="G1" s="25"/>
      <c r="H1" s="25"/>
    </row>
    <row r="2" spans="1:8" s="3" customFormat="1" ht="21.75" customHeight="1">
      <c r="A2" s="2"/>
      <c r="B2" s="9" t="s">
        <v>0</v>
      </c>
      <c r="C2" s="10" t="s">
        <v>1</v>
      </c>
      <c r="D2" s="10" t="s">
        <v>2</v>
      </c>
      <c r="E2" s="10" t="s">
        <v>3</v>
      </c>
      <c r="F2" s="10" t="s">
        <v>4</v>
      </c>
      <c r="G2" s="10" t="s">
        <v>5</v>
      </c>
      <c r="H2" s="11" t="s">
        <v>6</v>
      </c>
    </row>
    <row r="3" spans="1:8" ht="14.1" customHeight="1">
      <c r="B3" s="12" t="str">
        <f ca="1">IF(DAY(MaySun1)=1,"",IF(AND(YEAR(MaySun1+1)=CalendarYear,MONTH(MaySun1+1)=5),MaySun1+1,""))</f>
        <v/>
      </c>
      <c r="C3" s="6">
        <f ca="1">IF(DAY(MaySun1)=1,"",IF(AND(YEAR(MaySun1+2)=CalendarYear,MONTH(MaySun1+2)=5),MaySun1+2,""))</f>
        <v>43221</v>
      </c>
      <c r="D3" s="6">
        <f ca="1">IF(DAY(MaySun1)=1,"",IF(AND(YEAR(MaySun1+3)=CalendarYear,MONTH(MaySun1+3)=5),MaySun1+3,""))</f>
        <v>43222</v>
      </c>
      <c r="E3" s="6">
        <f ca="1">IF(DAY(MaySun1)=1,"",IF(AND(YEAR(MaySun1+4)=CalendarYear,MONTH(MaySun1+4)=5),MaySun1+4,""))</f>
        <v>43223</v>
      </c>
      <c r="F3" s="6">
        <f ca="1">IF(DAY(MaySun1)=1,"",IF(AND(YEAR(MaySun1+5)=CalendarYear,MONTH(MaySun1+5)=5),MaySun1+5,""))</f>
        <v>43224</v>
      </c>
      <c r="G3" s="6">
        <f ca="1">IF(DAY(MaySun1)=1,"",IF(AND(YEAR(MaySun1+6)=CalendarYear,MONTH(MaySun1+6)=5),MaySun1+6,""))</f>
        <v>43225</v>
      </c>
      <c r="H3" s="13">
        <f ca="1">IF(DAY(MaySun1)=1,IF(AND(YEAR(MaySun1)=CalendarYear,MONTH(MaySun1)=5),MaySun1,""),IF(AND(YEAR(MaySun1+7)=CalendarYear,MONTH(MaySun1+7)=5),MaySun1+7,""))</f>
        <v>43226</v>
      </c>
    </row>
    <row r="4" spans="1:8" ht="57.95" customHeight="1">
      <c r="B4" s="15"/>
      <c r="C4" s="7"/>
      <c r="D4" s="8"/>
      <c r="E4" s="8"/>
      <c r="F4" s="8"/>
      <c r="G4" s="16"/>
      <c r="H4" s="17"/>
    </row>
    <row r="5" spans="1:8" ht="14.1" customHeight="1">
      <c r="B5" s="12">
        <f ca="1">IF(DAY(MaySun1)=1,IF(AND(YEAR(MaySun1+1)=CalendarYear,MONTH(MaySun1+1)=5),MaySun1+1,""),IF(AND(YEAR(MaySun1+8)=CalendarYear,MONTH(MaySun1+8)=5),MaySun1+8,""))</f>
        <v>43227</v>
      </c>
      <c r="C5" s="6">
        <f ca="1">IF(DAY(MaySun1)=1,IF(AND(YEAR(MaySun1+2)=CalendarYear,MONTH(MaySun1+2)=5),MaySun1+2,""),IF(AND(YEAR(MaySun1+9)=CalendarYear,MONTH(MaySun1+9)=5),MaySun1+9,""))</f>
        <v>43228</v>
      </c>
      <c r="D5" s="6">
        <f ca="1">IF(DAY(MaySun1)=1,IF(AND(YEAR(MaySun1+3)=CalendarYear,MONTH(MaySun1+3)=5),MaySun1+3,""),IF(AND(YEAR(MaySun1+10)=CalendarYear,MONTH(MaySun1+10)=5),MaySun1+10,""))</f>
        <v>43229</v>
      </c>
      <c r="E5" s="6">
        <f ca="1">IF(DAY(MaySun1)=1,IF(AND(YEAR(MaySun1+4)=CalendarYear,MONTH(MaySun1+4)=5),MaySun1+4,""),IF(AND(YEAR(MaySun1+11)=CalendarYear,MONTH(MaySun1+11)=5),MaySun1+11,""))</f>
        <v>43230</v>
      </c>
      <c r="F5" s="6">
        <f ca="1">IF(DAY(MaySun1)=1,IF(AND(YEAR(MaySun1+5)=CalendarYear,MONTH(MaySun1+5)=5),MaySun1+5,""),IF(AND(YEAR(MaySun1+12)=CalendarYear,MONTH(MaySun1+12)=5),MaySun1+12,""))</f>
        <v>43231</v>
      </c>
      <c r="G5" s="6">
        <f ca="1">IF(DAY(MaySun1)=1,IF(AND(YEAR(MaySun1+6)=CalendarYear,MONTH(MaySun1+6)=5),MaySun1+6,""),IF(AND(YEAR(MaySun1+13)=CalendarYear,MONTH(MaySun1+13)=5),MaySun1+13,""))</f>
        <v>43232</v>
      </c>
      <c r="H5" s="13">
        <f ca="1">IF(DAY(MaySun1)=1,IF(AND(YEAR(MaySun1+7)=CalendarYear,MONTH(MaySun1+7)=5),MaySun1+7,""),IF(AND(YEAR(MaySun1+14)=CalendarYear,MONTH(MaySun1+14)=5),MaySun1+14,""))</f>
        <v>43233</v>
      </c>
    </row>
    <row r="6" spans="1:8" ht="57.95" customHeight="1">
      <c r="B6" s="15"/>
      <c r="C6" s="7"/>
      <c r="D6" s="8"/>
      <c r="E6" s="8"/>
      <c r="F6" s="8"/>
      <c r="G6" s="16"/>
      <c r="H6" s="17"/>
    </row>
    <row r="7" spans="1:8" ht="14.1" customHeight="1">
      <c r="B7" s="12">
        <f ca="1">IF(DAY(MaySun1)=1,IF(AND(YEAR(MaySun1+8)=CalendarYear,MONTH(MaySun1+8)=5),MaySun1+8,""),IF(AND(YEAR(MaySun1+15)=CalendarYear,MONTH(MaySun1+15)=5),MaySun1+15,""))</f>
        <v>43234</v>
      </c>
      <c r="C7" s="6">
        <f ca="1">IF(DAY(MaySun1)=1,IF(AND(YEAR(MaySun1+9)=CalendarYear,MONTH(MaySun1+9)=5),MaySun1+9,""),IF(AND(YEAR(MaySun1+16)=CalendarYear,MONTH(MaySun1+16)=5),MaySun1+16,""))</f>
        <v>43235</v>
      </c>
      <c r="D7" s="6">
        <f ca="1">IF(DAY(MaySun1)=1,IF(AND(YEAR(MaySun1+10)=CalendarYear,MONTH(MaySun1+10)=5),MaySun1+10,""),IF(AND(YEAR(MaySun1+17)=CalendarYear,MONTH(MaySun1+17)=5),MaySun1+17,""))</f>
        <v>43236</v>
      </c>
      <c r="E7" s="6">
        <f ca="1">IF(DAY(MaySun1)=1,IF(AND(YEAR(MaySun1+11)=CalendarYear,MONTH(MaySun1+11)=5),MaySun1+11,""),IF(AND(YEAR(MaySun1+18)=CalendarYear,MONTH(MaySun1+18)=5),MaySun1+18,""))</f>
        <v>43237</v>
      </c>
      <c r="F7" s="6">
        <f ca="1">IF(DAY(MaySun1)=1,IF(AND(YEAR(MaySun1+12)=CalendarYear,MONTH(MaySun1+12)=5),MaySun1+12,""),IF(AND(YEAR(MaySun1+19)=CalendarYear,MONTH(MaySun1+19)=5),MaySun1+19,""))</f>
        <v>43238</v>
      </c>
      <c r="G7" s="6">
        <f ca="1">IF(DAY(MaySun1)=1,IF(AND(YEAR(MaySun1+13)=CalendarYear,MONTH(MaySun1+13)=5),MaySun1+13,""),IF(AND(YEAR(MaySun1+20)=CalendarYear,MONTH(MaySun1+20)=5),MaySun1+20,""))</f>
        <v>43239</v>
      </c>
      <c r="H7" s="13">
        <f ca="1">IF(DAY(MaySun1)=1,IF(AND(YEAR(MaySun1+14)=CalendarYear,MONTH(MaySun1+14)=5),MaySun1+14,""),IF(AND(YEAR(MaySun1+21)=CalendarYear,MONTH(MaySun1+21)=5),MaySun1+21,""))</f>
        <v>43240</v>
      </c>
    </row>
    <row r="8" spans="1:8" ht="57.95" customHeight="1">
      <c r="B8" s="15"/>
      <c r="C8" s="7"/>
      <c r="D8" s="8"/>
      <c r="E8" s="8"/>
      <c r="F8" s="8"/>
      <c r="G8" s="16"/>
      <c r="H8" s="17"/>
    </row>
    <row r="9" spans="1:8" ht="14.1" customHeight="1">
      <c r="B9" s="12">
        <f ca="1">IF(DAY(MaySun1)=1,IF(AND(YEAR(MaySun1+15)=CalendarYear,MONTH(MaySun1+15)=5),MaySun1+15,""),IF(AND(YEAR(MaySun1+22)=CalendarYear,MONTH(MaySun1+22)=5),MaySun1+22,""))</f>
        <v>43241</v>
      </c>
      <c r="C9" s="6">
        <f ca="1">IF(DAY(MaySun1)=1,IF(AND(YEAR(MaySun1+16)=CalendarYear,MONTH(MaySun1+16)=5),MaySun1+16,""),IF(AND(YEAR(MaySun1+23)=CalendarYear,MONTH(MaySun1+23)=5),MaySun1+23,""))</f>
        <v>43242</v>
      </c>
      <c r="D9" s="6">
        <f ca="1">IF(DAY(MaySun1)=1,IF(AND(YEAR(MaySun1+17)=CalendarYear,MONTH(MaySun1+17)=5),MaySun1+17,""),IF(AND(YEAR(MaySun1+24)=CalendarYear,MONTH(MaySun1+24)=5),MaySun1+24,""))</f>
        <v>43243</v>
      </c>
      <c r="E9" s="6">
        <f ca="1">IF(DAY(MaySun1)=1,IF(AND(YEAR(MaySun1+18)=CalendarYear,MONTH(MaySun1+18)=5),MaySun1+18,""),IF(AND(YEAR(MaySun1+25)=CalendarYear,MONTH(MaySun1+25)=5),MaySun1+25,""))</f>
        <v>43244</v>
      </c>
      <c r="F9" s="6">
        <f ca="1">IF(DAY(MaySun1)=1,IF(AND(YEAR(MaySun1+19)=CalendarYear,MONTH(MaySun1+19)=5),MaySun1+19,""),IF(AND(YEAR(MaySun1+26)=CalendarYear,MONTH(MaySun1+26)=5),MaySun1+26,""))</f>
        <v>43245</v>
      </c>
      <c r="G9" s="6">
        <f ca="1">IF(DAY(MaySun1)=1,IF(AND(YEAR(MaySun1+20)=CalendarYear,MONTH(MaySun1+20)=5),MaySun1+20,""),IF(AND(YEAR(MaySun1+27)=CalendarYear,MONTH(MaySun1+27)=5),MaySun1+27,""))</f>
        <v>43246</v>
      </c>
      <c r="H9" s="13">
        <f ca="1">IF(DAY(MaySun1)=1,IF(AND(YEAR(MaySun1+21)=CalendarYear,MONTH(MaySun1+21)=5),MaySun1+21,""),IF(AND(YEAR(MaySun1+28)=CalendarYear,MONTH(MaySun1+28)=5),MaySun1+28,""))</f>
        <v>43247</v>
      </c>
    </row>
    <row r="10" spans="1:8" ht="57.95" customHeight="1">
      <c r="B10" s="15"/>
      <c r="C10" s="7"/>
      <c r="D10" s="8"/>
      <c r="E10" s="8"/>
      <c r="F10" s="8"/>
      <c r="G10" s="16"/>
      <c r="H10" s="17"/>
    </row>
    <row r="11" spans="1:8" ht="14.1" customHeight="1">
      <c r="B11" s="12">
        <f ca="1">IF(DAY(MaySun1)=1,IF(AND(YEAR(MaySun1+22)=CalendarYear,MONTH(MaySun1+22)=5),MaySun1+22,""),IF(AND(YEAR(MaySun1+29)=CalendarYear,MONTH(MaySun1+29)=5),MaySun1+29,""))</f>
        <v>43248</v>
      </c>
      <c r="C11" s="6">
        <f ca="1">IF(DAY(MaySun1)=1,IF(AND(YEAR(MaySun1+23)=CalendarYear,MONTH(MaySun1+23)=5),MaySun1+23,""),IF(AND(YEAR(MaySun1+30)=CalendarYear,MONTH(MaySun1+30)=5),MaySun1+30,""))</f>
        <v>43249</v>
      </c>
      <c r="D11" s="6">
        <f ca="1">IF(DAY(MaySun1)=1,IF(AND(YEAR(MaySun1+24)=CalendarYear,MONTH(MaySun1+24)=5),MaySun1+24,""),IF(AND(YEAR(MaySun1+31)=CalendarYear,MONTH(MaySun1+31)=5),MaySun1+31,""))</f>
        <v>43250</v>
      </c>
      <c r="E11" s="6">
        <f ca="1">IF(DAY(MaySun1)=1,IF(AND(YEAR(MaySun1+25)=CalendarYear,MONTH(MaySun1+25)=5),MaySun1+25,""),IF(AND(YEAR(MaySun1+32)=CalendarYear,MONTH(MaySun1+32)=5),MaySun1+32,""))</f>
        <v>43251</v>
      </c>
      <c r="F11" s="6" t="str">
        <f ca="1">IF(DAY(MaySun1)=1,IF(AND(YEAR(MaySun1+26)=CalendarYear,MONTH(MaySun1+26)=5),MaySun1+26,""),IF(AND(YEAR(MaySun1+33)=CalendarYear,MONTH(MaySun1+33)=5),MaySun1+33,""))</f>
        <v/>
      </c>
      <c r="G11" s="6" t="str">
        <f ca="1">IF(DAY(MaySun1)=1,IF(AND(YEAR(MaySun1+27)=CalendarYear,MONTH(MaySun1+27)=5),MaySun1+27,""),IF(AND(YEAR(MaySun1+34)=CalendarYear,MONTH(MaySun1+34)=5),MaySun1+34,""))</f>
        <v/>
      </c>
      <c r="H11" s="13" t="str">
        <f ca="1">IF(DAY(MaySun1)=1,IF(AND(YEAR(MaySun1+28)=CalendarYear,MONTH(MaySun1+28)=5),MaySun1+28,""),IF(AND(YEAR(MaySun1+35)=CalendarYear,MONTH(MaySun1+35)=5),MaySun1+35,""))</f>
        <v/>
      </c>
    </row>
    <row r="12" spans="1:8" ht="57.95" customHeight="1">
      <c r="B12" s="15"/>
      <c r="C12" s="7"/>
      <c r="D12" s="8"/>
      <c r="E12" s="8"/>
      <c r="F12" s="7"/>
      <c r="G12" s="16"/>
      <c r="H12" s="17"/>
    </row>
    <row r="13" spans="1:8" ht="14.1" customHeight="1">
      <c r="B13" s="12" t="str">
        <f ca="1">IF(DAY(MaySun1)=1,IF(AND(YEAR(MaySun1+29)=CalendarYear,MONTH(MaySun1+29)=5),MaySun1+29,""),IF(AND(YEAR(MaySun1+36)=CalendarYear,MONTH(MaySun1+36)=5),MaySun1+36,""))</f>
        <v/>
      </c>
      <c r="C13" s="6" t="str">
        <f ca="1">IF(DAY(MaySun1)=1,IF(AND(YEAR(MaySun1+30)=CalendarYear,MONTH(MaySun1+30)=5),MaySun1+30,""),IF(AND(YEAR(MaySun1+37)=CalendarYear,MONTH(MaySun1+37)=5),MaySun1+37,""))</f>
        <v/>
      </c>
      <c r="D13" s="29" t="s">
        <v>8</v>
      </c>
      <c r="E13" s="29"/>
      <c r="F13" s="29"/>
      <c r="G13" s="29"/>
      <c r="H13" s="30"/>
    </row>
    <row r="14" spans="1:8" ht="57.95" customHeight="1" thickBot="1">
      <c r="B14" s="18"/>
      <c r="C14" s="14"/>
      <c r="D14" s="26"/>
      <c r="E14" s="27"/>
      <c r="F14" s="27"/>
      <c r="G14" s="27"/>
      <c r="H14" s="28"/>
    </row>
  </sheetData>
  <mergeCells count="3">
    <mergeCell ref="B1:H1"/>
    <mergeCell ref="D13:H13"/>
    <mergeCell ref="D14:H14"/>
  </mergeCells>
  <phoneticPr fontId="7" type="noConversion"/>
  <printOptions horizontalCentered="1" verticalCentered="1"/>
  <pageMargins left="0.5" right="0.5" top="0.75" bottom="0.75" header="0.5" footer="0.5"/>
  <headerFooter alignWithMargins="0"/>
</worksheet>
</file>

<file path=xl/worksheets/sheet5.xml><?xml version="1.0" encoding="utf-8"?>
<worksheet xmlns="http://schemas.openxmlformats.org/spreadsheetml/2006/main" xmlns:r="http://schemas.openxmlformats.org/officeDocument/2006/relationships">
  <sheetPr enableFormatConditionsCalculation="0">
    <pageSetUpPr fitToPage="1"/>
  </sheetPr>
  <dimension ref="A1:H14"/>
  <sheetViews>
    <sheetView showGridLines="0" workbookViewId="0">
      <selection activeCell="D13" sqref="D13:H13"/>
    </sheetView>
  </sheetViews>
  <sheetFormatPr baseColWidth="10" defaultColWidth="8.75" defaultRowHeight="16.5"/>
  <cols>
    <col min="1" max="1" width="2.375" style="1" customWidth="1"/>
    <col min="2" max="8" width="17.375" customWidth="1"/>
    <col min="10" max="10" width="13.375" bestFit="1" customWidth="1"/>
    <col min="11" max="11" width="14.75" bestFit="1" customWidth="1"/>
  </cols>
  <sheetData>
    <row r="1" spans="1:8" s="1" customFormat="1" ht="59.25" customHeight="1" thickBot="1">
      <c r="B1" s="25">
        <f ca="1">DATE(CalendarYear,6,1)</f>
        <v>43252</v>
      </c>
      <c r="C1" s="25"/>
      <c r="D1" s="25"/>
      <c r="E1" s="25"/>
      <c r="F1" s="25"/>
      <c r="G1" s="25"/>
      <c r="H1" s="25"/>
    </row>
    <row r="2" spans="1:8" s="3" customFormat="1" ht="21.75" customHeight="1">
      <c r="A2" s="2"/>
      <c r="B2" s="9" t="s">
        <v>0</v>
      </c>
      <c r="C2" s="10" t="s">
        <v>1</v>
      </c>
      <c r="D2" s="10" t="s">
        <v>2</v>
      </c>
      <c r="E2" s="10" t="s">
        <v>3</v>
      </c>
      <c r="F2" s="10" t="s">
        <v>4</v>
      </c>
      <c r="G2" s="10" t="s">
        <v>5</v>
      </c>
      <c r="H2" s="11" t="s">
        <v>6</v>
      </c>
    </row>
    <row r="3" spans="1:8" ht="14.1" customHeight="1">
      <c r="B3" s="12" t="str">
        <f ca="1">IF(DAY(JunSun1)=1,"",IF(AND(YEAR(JunSun1+1)=CalendarYear,MONTH(JunSun1+1)=6),JunSun1+1,""))</f>
        <v/>
      </c>
      <c r="C3" s="6" t="str">
        <f ca="1">IF(DAY(JunSun1)=1,"",IF(AND(YEAR(JunSun1+2)=CalendarYear,MONTH(JunSun1+2)=6),JunSun1+2,""))</f>
        <v/>
      </c>
      <c r="D3" s="6" t="str">
        <f ca="1">IF(DAY(JunSun1)=1,"",IF(AND(YEAR(JunSun1+3)=CalendarYear,MONTH(JunSun1+3)=6),JunSun1+3,""))</f>
        <v/>
      </c>
      <c r="E3" s="6" t="str">
        <f ca="1">IF(DAY(JunSun1)=1,"",IF(AND(YEAR(JunSun1+4)=CalendarYear,MONTH(JunSun1+4)=6),JunSun1+4,""))</f>
        <v/>
      </c>
      <c r="F3" s="6">
        <f ca="1">IF(DAY(JunSun1)=1,"",IF(AND(YEAR(JunSun1+5)=CalendarYear,MONTH(JunSun1+5)=6),JunSun1+5,""))</f>
        <v>43252</v>
      </c>
      <c r="G3" s="6">
        <f ca="1">IF(DAY(JunSun1)=1,"",IF(AND(YEAR(JunSun1+6)=CalendarYear,MONTH(JunSun1+6)=6),JunSun1+6,""))</f>
        <v>43253</v>
      </c>
      <c r="H3" s="13">
        <f ca="1">IF(DAY(JunSun1)=1,IF(AND(YEAR(JunSun1)=CalendarYear,MONTH(JunSun1)=6),JunSun1,""),IF(AND(YEAR(JunSun1+7)=CalendarYear,MONTH(JunSun1+7)=6),JunSun1+7,""))</f>
        <v>43254</v>
      </c>
    </row>
    <row r="4" spans="1:8" ht="57.95" customHeight="1">
      <c r="B4" s="15"/>
      <c r="C4" s="7"/>
      <c r="D4" s="8"/>
      <c r="E4" s="8"/>
      <c r="F4" s="8"/>
      <c r="G4" s="16"/>
      <c r="H4" s="17"/>
    </row>
    <row r="5" spans="1:8" ht="14.1" customHeight="1">
      <c r="B5" s="12">
        <f ca="1">IF(DAY(JunSun1)=1,IF(AND(YEAR(JunSun1+1)=CalendarYear,MONTH(JunSun1+1)=6),JunSun1+1,""),IF(AND(YEAR(JunSun1+8)=CalendarYear,MONTH(JunSun1+8)=6),JunSun1+8,""))</f>
        <v>43255</v>
      </c>
      <c r="C5" s="6">
        <f ca="1">IF(DAY(JunSun1)=1,IF(AND(YEAR(JunSun1+2)=CalendarYear,MONTH(JunSun1+2)=6),JunSun1+2,""),IF(AND(YEAR(JunSun1+9)=CalendarYear,MONTH(JunSun1+9)=6),JunSun1+9,""))</f>
        <v>43256</v>
      </c>
      <c r="D5" s="6">
        <f ca="1">IF(DAY(JunSun1)=1,IF(AND(YEAR(JunSun1+3)=CalendarYear,MONTH(JunSun1+3)=6),JunSun1+3,""),IF(AND(YEAR(JunSun1+10)=CalendarYear,MONTH(JunSun1+10)=6),JunSun1+10,""))</f>
        <v>43257</v>
      </c>
      <c r="E5" s="6">
        <f ca="1">IF(DAY(JunSun1)=1,IF(AND(YEAR(JunSun1+4)=CalendarYear,MONTH(JunSun1+4)=6),JunSun1+4,""),IF(AND(YEAR(JunSun1+11)=CalendarYear,MONTH(JunSun1+11)=6),JunSun1+11,""))</f>
        <v>43258</v>
      </c>
      <c r="F5" s="6">
        <f ca="1">IF(DAY(JunSun1)=1,IF(AND(YEAR(JunSun1+5)=CalendarYear,MONTH(JunSun1+5)=6),JunSun1+5,""),IF(AND(YEAR(JunSun1+12)=CalendarYear,MONTH(JunSun1+12)=6),JunSun1+12,""))</f>
        <v>43259</v>
      </c>
      <c r="G5" s="6">
        <f ca="1">IF(DAY(JunSun1)=1,IF(AND(YEAR(JunSun1+6)=CalendarYear,MONTH(JunSun1+6)=6),JunSun1+6,""),IF(AND(YEAR(JunSun1+13)=CalendarYear,MONTH(JunSun1+13)=6),JunSun1+13,""))</f>
        <v>43260</v>
      </c>
      <c r="H5" s="13">
        <f ca="1">IF(DAY(JunSun1)=1,IF(AND(YEAR(JunSun1+7)=CalendarYear,MONTH(JunSun1+7)=6),JunSun1+7,""),IF(AND(YEAR(JunSun1+14)=CalendarYear,MONTH(JunSun1+14)=6),JunSun1+14,""))</f>
        <v>43261</v>
      </c>
    </row>
    <row r="6" spans="1:8" ht="57.95" customHeight="1">
      <c r="B6" s="15"/>
      <c r="C6" s="7"/>
      <c r="D6" s="8"/>
      <c r="E6" s="8"/>
      <c r="F6" s="8"/>
      <c r="G6" s="16"/>
      <c r="H6" s="17"/>
    </row>
    <row r="7" spans="1:8" ht="14.1" customHeight="1">
      <c r="B7" s="12">
        <f ca="1">IF(DAY(JunSun1)=1,IF(AND(YEAR(JunSun1+8)=CalendarYear,MONTH(JunSun1+8)=6),JunSun1+8,""),IF(AND(YEAR(JunSun1+15)=CalendarYear,MONTH(JunSun1+15)=6),JunSun1+15,""))</f>
        <v>43262</v>
      </c>
      <c r="C7" s="6">
        <f ca="1">IF(DAY(JunSun1)=1,IF(AND(YEAR(JunSun1+9)=CalendarYear,MONTH(JunSun1+9)=6),JunSun1+9,""),IF(AND(YEAR(JunSun1+16)=CalendarYear,MONTH(JunSun1+16)=6),JunSun1+16,""))</f>
        <v>43263</v>
      </c>
      <c r="D7" s="6">
        <f ca="1">IF(DAY(JunSun1)=1,IF(AND(YEAR(JunSun1+10)=CalendarYear,MONTH(JunSun1+10)=6),JunSun1+10,""),IF(AND(YEAR(JunSun1+17)=CalendarYear,MONTH(JunSun1+17)=6),JunSun1+17,""))</f>
        <v>43264</v>
      </c>
      <c r="E7" s="6">
        <f ca="1">IF(DAY(JunSun1)=1,IF(AND(YEAR(JunSun1+11)=CalendarYear,MONTH(JunSun1+11)=6),JunSun1+11,""),IF(AND(YEAR(JunSun1+18)=CalendarYear,MONTH(JunSun1+18)=6),JunSun1+18,""))</f>
        <v>43265</v>
      </c>
      <c r="F7" s="6">
        <f ca="1">IF(DAY(JunSun1)=1,IF(AND(YEAR(JunSun1+12)=CalendarYear,MONTH(JunSun1+12)=6),JunSun1+12,""),IF(AND(YEAR(JunSun1+19)=CalendarYear,MONTH(JunSun1+19)=6),JunSun1+19,""))</f>
        <v>43266</v>
      </c>
      <c r="G7" s="6">
        <f ca="1">IF(DAY(JunSun1)=1,IF(AND(YEAR(JunSun1+13)=CalendarYear,MONTH(JunSun1+13)=6),JunSun1+13,""),IF(AND(YEAR(JunSun1+20)=CalendarYear,MONTH(JunSun1+20)=6),JunSun1+20,""))</f>
        <v>43267</v>
      </c>
      <c r="H7" s="13">
        <f ca="1">IF(DAY(JunSun1)=1,IF(AND(YEAR(JunSun1+14)=CalendarYear,MONTH(JunSun1+14)=6),JunSun1+14,""),IF(AND(YEAR(JunSun1+21)=CalendarYear,MONTH(JunSun1+21)=6),JunSun1+21,""))</f>
        <v>43268</v>
      </c>
    </row>
    <row r="8" spans="1:8" ht="57.95" customHeight="1">
      <c r="B8" s="15"/>
      <c r="C8" s="7"/>
      <c r="D8" s="8"/>
      <c r="E8" s="8"/>
      <c r="F8" s="8"/>
      <c r="G8" s="16"/>
      <c r="H8" s="17"/>
    </row>
    <row r="9" spans="1:8" ht="14.1" customHeight="1">
      <c r="B9" s="12">
        <f ca="1">IF(DAY(JunSun1)=1,IF(AND(YEAR(JunSun1+15)=CalendarYear,MONTH(JunSun1+15)=6),JunSun1+15,""),IF(AND(YEAR(JunSun1+22)=CalendarYear,MONTH(JunSun1+22)=6),JunSun1+22,""))</f>
        <v>43269</v>
      </c>
      <c r="C9" s="6">
        <f ca="1">IF(DAY(JunSun1)=1,IF(AND(YEAR(JunSun1+16)=CalendarYear,MONTH(JunSun1+16)=6),JunSun1+16,""),IF(AND(YEAR(JunSun1+23)=CalendarYear,MONTH(JunSun1+23)=6),JunSun1+23,""))</f>
        <v>43270</v>
      </c>
      <c r="D9" s="6">
        <f ca="1">IF(DAY(JunSun1)=1,IF(AND(YEAR(JunSun1+17)=CalendarYear,MONTH(JunSun1+17)=6),JunSun1+17,""),IF(AND(YEAR(JunSun1+24)=CalendarYear,MONTH(JunSun1+24)=6),JunSun1+24,""))</f>
        <v>43271</v>
      </c>
      <c r="E9" s="6">
        <f ca="1">IF(DAY(JunSun1)=1,IF(AND(YEAR(JunSun1+18)=CalendarYear,MONTH(JunSun1+18)=6),JunSun1+18,""),IF(AND(YEAR(JunSun1+25)=CalendarYear,MONTH(JunSun1+25)=6),JunSun1+25,""))</f>
        <v>43272</v>
      </c>
      <c r="F9" s="6">
        <f ca="1">IF(DAY(JunSun1)=1,IF(AND(YEAR(JunSun1+19)=CalendarYear,MONTH(JunSun1+19)=6),JunSun1+19,""),IF(AND(YEAR(JunSun1+26)=CalendarYear,MONTH(JunSun1+26)=6),JunSun1+26,""))</f>
        <v>43273</v>
      </c>
      <c r="G9" s="6">
        <f ca="1">IF(DAY(JunSun1)=1,IF(AND(YEAR(JunSun1+20)=CalendarYear,MONTH(JunSun1+20)=6),JunSun1+20,""),IF(AND(YEAR(JunSun1+27)=CalendarYear,MONTH(JunSun1+27)=6),JunSun1+27,""))</f>
        <v>43274</v>
      </c>
      <c r="H9" s="13">
        <f ca="1">IF(DAY(JunSun1)=1,IF(AND(YEAR(JunSun1+21)=CalendarYear,MONTH(JunSun1+21)=6),JunSun1+21,""),IF(AND(YEAR(JunSun1+28)=CalendarYear,MONTH(JunSun1+28)=6),JunSun1+28,""))</f>
        <v>43275</v>
      </c>
    </row>
    <row r="10" spans="1:8" ht="57.95" customHeight="1">
      <c r="B10" s="15"/>
      <c r="C10" s="7"/>
      <c r="D10" s="8"/>
      <c r="E10" s="8"/>
      <c r="F10" s="8"/>
      <c r="G10" s="16"/>
      <c r="H10" s="17"/>
    </row>
    <row r="11" spans="1:8" ht="14.1" customHeight="1">
      <c r="B11" s="12">
        <f ca="1">IF(DAY(JunSun1)=1,IF(AND(YEAR(JunSun1+22)=CalendarYear,MONTH(JunSun1+22)=6),JunSun1+22,""),IF(AND(YEAR(JunSun1+29)=CalendarYear,MONTH(JunSun1+29)=6),JunSun1+29,""))</f>
        <v>43276</v>
      </c>
      <c r="C11" s="6">
        <f ca="1">IF(DAY(JunSun1)=1,IF(AND(YEAR(JunSun1+23)=CalendarYear,MONTH(JunSun1+23)=6),JunSun1+23,""),IF(AND(YEAR(JunSun1+30)=CalendarYear,MONTH(JunSun1+30)=6),JunSun1+30,""))</f>
        <v>43277</v>
      </c>
      <c r="D11" s="6">
        <f ca="1">IF(DAY(JunSun1)=1,IF(AND(YEAR(JunSun1+24)=CalendarYear,MONTH(JunSun1+24)=6),JunSun1+24,""),IF(AND(YEAR(JunSun1+31)=CalendarYear,MONTH(JunSun1+31)=6),JunSun1+31,""))</f>
        <v>43278</v>
      </c>
      <c r="E11" s="6">
        <f ca="1">IF(DAY(JunSun1)=1,IF(AND(YEAR(JunSun1+25)=CalendarYear,MONTH(JunSun1+25)=6),JunSun1+25,""),IF(AND(YEAR(JunSun1+32)=CalendarYear,MONTH(JunSun1+32)=6),JunSun1+32,""))</f>
        <v>43279</v>
      </c>
      <c r="F11" s="6">
        <f ca="1">IF(DAY(JunSun1)=1,IF(AND(YEAR(JunSun1+26)=CalendarYear,MONTH(JunSun1+26)=6),JunSun1+26,""),IF(AND(YEAR(JunSun1+33)=CalendarYear,MONTH(JunSun1+33)=6),JunSun1+33,""))</f>
        <v>43280</v>
      </c>
      <c r="G11" s="6">
        <f ca="1">IF(DAY(JunSun1)=1,IF(AND(YEAR(JunSun1+27)=CalendarYear,MONTH(JunSun1+27)=6),JunSun1+27,""),IF(AND(YEAR(JunSun1+34)=CalendarYear,MONTH(JunSun1+34)=6),JunSun1+34,""))</f>
        <v>43281</v>
      </c>
      <c r="H11" s="13" t="str">
        <f ca="1">IF(DAY(JunSun1)=1,IF(AND(YEAR(JunSun1+28)=CalendarYear,MONTH(JunSun1+28)=6),JunSun1+28,""),IF(AND(YEAR(JunSun1+35)=CalendarYear,MONTH(JunSun1+35)=6),JunSun1+35,""))</f>
        <v/>
      </c>
    </row>
    <row r="12" spans="1:8" ht="57.95" customHeight="1">
      <c r="B12" s="15"/>
      <c r="C12" s="7"/>
      <c r="D12" s="8"/>
      <c r="E12" s="8"/>
      <c r="F12" s="7"/>
      <c r="G12" s="16"/>
      <c r="H12" s="17"/>
    </row>
    <row r="13" spans="1:8" ht="14.1" customHeight="1">
      <c r="B13" s="12" t="str">
        <f ca="1">IF(DAY(JunSun1)=1,IF(AND(YEAR(JunSun1+29)=CalendarYear,MONTH(JunSun1+29)=6),JunSun1+29,""),IF(AND(YEAR(JunSun1+36)=CalendarYear,MONTH(JunSun1+36)=6),JunSun1+36,""))</f>
        <v/>
      </c>
      <c r="C13" s="6" t="str">
        <f ca="1">IF(DAY(JunSun1)=1,IF(AND(YEAR(JunSun1+30)=CalendarYear,MONTH(JunSun1+30)=6),JunSun1+30,""),IF(AND(YEAR(JunSun1+37)=CalendarYear,MONTH(JunSun1+37)=6),JunSun1+37,""))</f>
        <v/>
      </c>
      <c r="D13" s="29" t="s">
        <v>8</v>
      </c>
      <c r="E13" s="29"/>
      <c r="F13" s="29"/>
      <c r="G13" s="29"/>
      <c r="H13" s="30"/>
    </row>
    <row r="14" spans="1:8" ht="57.95" customHeight="1" thickBot="1">
      <c r="B14" s="18"/>
      <c r="C14" s="14"/>
      <c r="D14" s="31"/>
      <c r="E14" s="32"/>
      <c r="F14" s="32"/>
      <c r="G14" s="32"/>
      <c r="H14" s="33"/>
    </row>
  </sheetData>
  <mergeCells count="3">
    <mergeCell ref="B1:H1"/>
    <mergeCell ref="D13:H13"/>
    <mergeCell ref="D14:H14"/>
  </mergeCells>
  <phoneticPr fontId="7" type="noConversion"/>
  <printOptions horizontalCentered="1" verticalCentered="1"/>
  <pageMargins left="0.5" right="0.5" top="0.75" bottom="0.75" header="0.5" footer="0.5"/>
  <headerFooter alignWithMargins="0"/>
</worksheet>
</file>

<file path=xl/worksheets/sheet6.xml><?xml version="1.0" encoding="utf-8"?>
<worksheet xmlns="http://schemas.openxmlformats.org/spreadsheetml/2006/main" xmlns:r="http://schemas.openxmlformats.org/officeDocument/2006/relationships">
  <sheetPr enableFormatConditionsCalculation="0">
    <pageSetUpPr fitToPage="1"/>
  </sheetPr>
  <dimension ref="A1:H14"/>
  <sheetViews>
    <sheetView showGridLines="0" workbookViewId="0">
      <selection activeCell="D13" sqref="D13:H13"/>
    </sheetView>
  </sheetViews>
  <sheetFormatPr baseColWidth="10" defaultColWidth="8.75" defaultRowHeight="16.5"/>
  <cols>
    <col min="1" max="1" width="2.375" style="1" customWidth="1"/>
    <col min="2" max="8" width="17.375" customWidth="1"/>
    <col min="10" max="10" width="13.375" bestFit="1" customWidth="1"/>
    <col min="11" max="11" width="14.75" bestFit="1" customWidth="1"/>
  </cols>
  <sheetData>
    <row r="1" spans="1:8" s="1" customFormat="1" ht="59.25" customHeight="1" thickBot="1">
      <c r="B1" s="25">
        <f ca="1">DATE(CalendarYear,7,1)</f>
        <v>43282</v>
      </c>
      <c r="C1" s="25"/>
      <c r="D1" s="25"/>
      <c r="E1" s="25"/>
      <c r="F1" s="25"/>
      <c r="G1" s="25"/>
      <c r="H1" s="25"/>
    </row>
    <row r="2" spans="1:8" s="3" customFormat="1" ht="21.75" customHeight="1">
      <c r="A2" s="2"/>
      <c r="B2" s="9" t="s">
        <v>0</v>
      </c>
      <c r="C2" s="10" t="s">
        <v>1</v>
      </c>
      <c r="D2" s="10" t="s">
        <v>2</v>
      </c>
      <c r="E2" s="10" t="s">
        <v>3</v>
      </c>
      <c r="F2" s="10" t="s">
        <v>4</v>
      </c>
      <c r="G2" s="10" t="s">
        <v>5</v>
      </c>
      <c r="H2" s="11" t="s">
        <v>6</v>
      </c>
    </row>
    <row r="3" spans="1:8" ht="14.1" customHeight="1">
      <c r="B3" s="12" t="str">
        <f ca="1">IF(DAY(JulSun1)=1,"",IF(AND(YEAR(JulSun1+1)=CalendarYear,MONTH(JulSun1+1)=7),JulSun1+1,""))</f>
        <v/>
      </c>
      <c r="C3" s="6" t="str">
        <f ca="1">IF(DAY(JulSun1)=1,"",IF(AND(YEAR(JulSun1+2)=CalendarYear,MONTH(JulSun1+2)=7),JulSun1+2,""))</f>
        <v/>
      </c>
      <c r="D3" s="6" t="str">
        <f ca="1">IF(DAY(JulSun1)=1,"",IF(AND(YEAR(JulSun1+3)=CalendarYear,MONTH(JulSun1+3)=7),JulSun1+3,""))</f>
        <v/>
      </c>
      <c r="E3" s="6" t="str">
        <f ca="1">IF(DAY(JulSun1)=1,"",IF(AND(YEAR(JulSun1+4)=CalendarYear,MONTH(JulSun1+4)=7),JulSun1+4,""))</f>
        <v/>
      </c>
      <c r="F3" s="6" t="str">
        <f ca="1">IF(DAY(JulSun1)=1,"",IF(AND(YEAR(JulSun1+5)=CalendarYear,MONTH(JulSun1+5)=7),JulSun1+5,""))</f>
        <v/>
      </c>
      <c r="G3" s="6" t="str">
        <f ca="1">IF(DAY(JulSun1)=1,"",IF(AND(YEAR(JulSun1+6)=CalendarYear,MONTH(JulSun1+6)=7),JulSun1+6,""))</f>
        <v/>
      </c>
      <c r="H3" s="13">
        <f ca="1">IF(DAY(JulSun1)=1,IF(AND(YEAR(JulSun1)=CalendarYear,MONTH(JulSun1)=7),JulSun1,""),IF(AND(YEAR(JulSun1+7)=CalendarYear,MONTH(JulSun1+7)=7),JulSun1+7,""))</f>
        <v>43282</v>
      </c>
    </row>
    <row r="4" spans="1:8" ht="57.95" customHeight="1">
      <c r="B4" s="15"/>
      <c r="C4" s="7"/>
      <c r="D4" s="8"/>
      <c r="E4" s="8"/>
      <c r="F4" s="8"/>
      <c r="G4" s="16"/>
      <c r="H4" s="17"/>
    </row>
    <row r="5" spans="1:8" ht="14.1" customHeight="1">
      <c r="B5" s="12">
        <f ca="1">IF(DAY(JulSun1)=1,IF(AND(YEAR(JulSun1+1)=CalendarYear,MONTH(JulSun1+1)=7),JulSun1+1,""),IF(AND(YEAR(JulSun1+8)=CalendarYear,MONTH(JulSun1+8)=7),JulSun1+8,""))</f>
        <v>43283</v>
      </c>
      <c r="C5" s="6">
        <f ca="1">IF(DAY(JulSun1)=1,IF(AND(YEAR(JulSun1+2)=CalendarYear,MONTH(JulSun1+2)=7),JulSun1+2,""),IF(AND(YEAR(JulSun1+9)=CalendarYear,MONTH(JulSun1+9)=7),JulSun1+9,""))</f>
        <v>43284</v>
      </c>
      <c r="D5" s="6">
        <f ca="1">IF(DAY(JulSun1)=1,IF(AND(YEAR(JulSun1+3)=CalendarYear,MONTH(JulSun1+3)=7),JulSun1+3,""),IF(AND(YEAR(JulSun1+10)=CalendarYear,MONTH(JulSun1+10)=7),JulSun1+10,""))</f>
        <v>43285</v>
      </c>
      <c r="E5" s="6">
        <f ca="1">IF(DAY(JulSun1)=1,IF(AND(YEAR(JulSun1+4)=CalendarYear,MONTH(JulSun1+4)=7),JulSun1+4,""),IF(AND(YEAR(JulSun1+11)=CalendarYear,MONTH(JulSun1+11)=7),JulSun1+11,""))</f>
        <v>43286</v>
      </c>
      <c r="F5" s="6">
        <f ca="1">IF(DAY(JulSun1)=1,IF(AND(YEAR(JulSun1+5)=CalendarYear,MONTH(JulSun1+5)=7),JulSun1+5,""),IF(AND(YEAR(JulSun1+12)=CalendarYear,MONTH(JulSun1+12)=7),JulSun1+12,""))</f>
        <v>43287</v>
      </c>
      <c r="G5" s="6">
        <f ca="1">IF(DAY(JulSun1)=1,IF(AND(YEAR(JulSun1+6)=CalendarYear,MONTH(JulSun1+6)=7),JulSun1+6,""),IF(AND(YEAR(JulSun1+13)=CalendarYear,MONTH(JulSun1+13)=7),JulSun1+13,""))</f>
        <v>43288</v>
      </c>
      <c r="H5" s="13">
        <f ca="1">IF(DAY(JulSun1)=1,IF(AND(YEAR(JulSun1+7)=CalendarYear,MONTH(JulSun1+7)=7),JulSun1+7,""),IF(AND(YEAR(JulSun1+14)=CalendarYear,MONTH(JulSun1+14)=7),JulSun1+14,""))</f>
        <v>43289</v>
      </c>
    </row>
    <row r="6" spans="1:8" ht="57.95" customHeight="1">
      <c r="B6" s="15"/>
      <c r="C6" s="7"/>
      <c r="D6" s="8"/>
      <c r="E6" s="8"/>
      <c r="F6" s="8"/>
      <c r="G6" s="16"/>
      <c r="H6" s="17"/>
    </row>
    <row r="7" spans="1:8" ht="14.1" customHeight="1">
      <c r="B7" s="12">
        <f ca="1">IF(DAY(JulSun1)=1,IF(AND(YEAR(JulSun1+8)=CalendarYear,MONTH(JulSun1+8)=7),JulSun1+8,""),IF(AND(YEAR(JulSun1+15)=CalendarYear,MONTH(JulSun1+15)=7),JulSun1+15,""))</f>
        <v>43290</v>
      </c>
      <c r="C7" s="6">
        <f ca="1">IF(DAY(JulSun1)=1,IF(AND(YEAR(JulSun1+9)=CalendarYear,MONTH(JulSun1+9)=7),JulSun1+9,""),IF(AND(YEAR(JulSun1+16)=CalendarYear,MONTH(JulSun1+16)=7),JulSun1+16,""))</f>
        <v>43291</v>
      </c>
      <c r="D7" s="6">
        <f ca="1">IF(DAY(JulSun1)=1,IF(AND(YEAR(JulSun1+10)=CalendarYear,MONTH(JulSun1+10)=7),JulSun1+10,""),IF(AND(YEAR(JulSun1+17)=CalendarYear,MONTH(JulSun1+17)=7),JulSun1+17,""))</f>
        <v>43292</v>
      </c>
      <c r="E7" s="6">
        <f ca="1">IF(DAY(JulSun1)=1,IF(AND(YEAR(JulSun1+11)=CalendarYear,MONTH(JulSun1+11)=7),JulSun1+11,""),IF(AND(YEAR(JulSun1+18)=CalendarYear,MONTH(JulSun1+18)=7),JulSun1+18,""))</f>
        <v>43293</v>
      </c>
      <c r="F7" s="6">
        <f ca="1">IF(DAY(JulSun1)=1,IF(AND(YEAR(JulSun1+12)=CalendarYear,MONTH(JulSun1+12)=7),JulSun1+12,""),IF(AND(YEAR(JulSun1+19)=CalendarYear,MONTH(JulSun1+19)=7),JulSun1+19,""))</f>
        <v>43294</v>
      </c>
      <c r="G7" s="6">
        <f ca="1">IF(DAY(JulSun1)=1,IF(AND(YEAR(JulSun1+13)=CalendarYear,MONTH(JulSun1+13)=7),JulSun1+13,""),IF(AND(YEAR(JulSun1+20)=CalendarYear,MONTH(JulSun1+20)=7),JulSun1+20,""))</f>
        <v>43295</v>
      </c>
      <c r="H7" s="13">
        <f ca="1">IF(DAY(JulSun1)=1,IF(AND(YEAR(JulSun1+14)=CalendarYear,MONTH(JulSun1+14)=7),JulSun1+14,""),IF(AND(YEAR(JulSun1+21)=CalendarYear,MONTH(JulSun1+21)=7),JulSun1+21,""))</f>
        <v>43296</v>
      </c>
    </row>
    <row r="8" spans="1:8" ht="57.95" customHeight="1">
      <c r="B8" s="15"/>
      <c r="C8" s="7"/>
      <c r="D8" s="8"/>
      <c r="E8" s="8"/>
      <c r="F8" s="8"/>
      <c r="G8" s="16"/>
      <c r="H8" s="17"/>
    </row>
    <row r="9" spans="1:8" ht="14.1" customHeight="1">
      <c r="B9" s="12">
        <f ca="1">IF(DAY(JulSun1)=1,IF(AND(YEAR(JulSun1+15)=CalendarYear,MONTH(JulSun1+15)=7),JulSun1+15,""),IF(AND(YEAR(JulSun1+22)=CalendarYear,MONTH(JulSun1+22)=7),JulSun1+22,""))</f>
        <v>43297</v>
      </c>
      <c r="C9" s="6">
        <f ca="1">IF(DAY(JulSun1)=1,IF(AND(YEAR(JulSun1+16)=CalendarYear,MONTH(JulSun1+16)=7),JulSun1+16,""),IF(AND(YEAR(JulSun1+23)=CalendarYear,MONTH(JulSun1+23)=7),JulSun1+23,""))</f>
        <v>43298</v>
      </c>
      <c r="D9" s="6">
        <f ca="1">IF(DAY(JulSun1)=1,IF(AND(YEAR(JulSun1+17)=CalendarYear,MONTH(JulSun1+17)=7),JulSun1+17,""),IF(AND(YEAR(JulSun1+24)=CalendarYear,MONTH(JulSun1+24)=7),JulSun1+24,""))</f>
        <v>43299</v>
      </c>
      <c r="E9" s="6">
        <f ca="1">IF(DAY(JulSun1)=1,IF(AND(YEAR(JulSun1+18)=CalendarYear,MONTH(JulSun1+18)=7),JulSun1+18,""),IF(AND(YEAR(JulSun1+25)=CalendarYear,MONTH(JulSun1+25)=7),JulSun1+25,""))</f>
        <v>43300</v>
      </c>
      <c r="F9" s="6">
        <f ca="1">IF(DAY(JulSun1)=1,IF(AND(YEAR(JulSun1+19)=CalendarYear,MONTH(JulSun1+19)=7),JulSun1+19,""),IF(AND(YEAR(JulSun1+26)=CalendarYear,MONTH(JulSun1+26)=7),JulSun1+26,""))</f>
        <v>43301</v>
      </c>
      <c r="G9" s="6">
        <f ca="1">IF(DAY(JulSun1)=1,IF(AND(YEAR(JulSun1+20)=CalendarYear,MONTH(JulSun1+20)=7),JulSun1+20,""),IF(AND(YEAR(JulSun1+27)=CalendarYear,MONTH(JulSun1+27)=7),JulSun1+27,""))</f>
        <v>43302</v>
      </c>
      <c r="H9" s="13">
        <f ca="1">IF(DAY(JulSun1)=1,IF(AND(YEAR(JulSun1+21)=CalendarYear,MONTH(JulSun1+21)=7),JulSun1+21,""),IF(AND(YEAR(JulSun1+28)=CalendarYear,MONTH(JulSun1+28)=7),JulSun1+28,""))</f>
        <v>43303</v>
      </c>
    </row>
    <row r="10" spans="1:8" ht="57.95" customHeight="1">
      <c r="B10" s="15"/>
      <c r="C10" s="7"/>
      <c r="D10" s="8"/>
      <c r="E10" s="8"/>
      <c r="F10" s="8"/>
      <c r="G10" s="16"/>
      <c r="H10" s="17"/>
    </row>
    <row r="11" spans="1:8" ht="14.1" customHeight="1">
      <c r="B11" s="12">
        <f ca="1">IF(DAY(JulSun1)=1,IF(AND(YEAR(JulSun1+22)=CalendarYear,MONTH(JulSun1+22)=7),JulSun1+22,""),IF(AND(YEAR(JulSun1+29)=CalendarYear,MONTH(JulSun1+29)=7),JulSun1+29,""))</f>
        <v>43304</v>
      </c>
      <c r="C11" s="6">
        <f ca="1">IF(DAY(JulSun1)=1,IF(AND(YEAR(JulSun1+23)=CalendarYear,MONTH(JulSun1+23)=7),JulSun1+23,""),IF(AND(YEAR(JulSun1+30)=CalendarYear,MONTH(JulSun1+30)=7),JulSun1+30,""))</f>
        <v>43305</v>
      </c>
      <c r="D11" s="6">
        <f ca="1">IF(DAY(JulSun1)=1,IF(AND(YEAR(JulSun1+24)=CalendarYear,MONTH(JulSun1+24)=7),JulSun1+24,""),IF(AND(YEAR(JulSun1+31)=CalendarYear,MONTH(JulSun1+31)=7),JulSun1+31,""))</f>
        <v>43306</v>
      </c>
      <c r="E11" s="6">
        <f ca="1">IF(DAY(JulSun1)=1,IF(AND(YEAR(JulSun1+25)=CalendarYear,MONTH(JulSun1+25)=7),JulSun1+25,""),IF(AND(YEAR(JulSun1+32)=CalendarYear,MONTH(JulSun1+32)=7),JulSun1+32,""))</f>
        <v>43307</v>
      </c>
      <c r="F11" s="6">
        <f ca="1">IF(DAY(JulSun1)=1,IF(AND(YEAR(JulSun1+26)=CalendarYear,MONTH(JulSun1+26)=7),JulSun1+26,""),IF(AND(YEAR(JulSun1+33)=CalendarYear,MONTH(JulSun1+33)=7),JulSun1+33,""))</f>
        <v>43308</v>
      </c>
      <c r="G11" s="6">
        <f ca="1">IF(DAY(JulSun1)=1,IF(AND(YEAR(JulSun1+27)=CalendarYear,MONTH(JulSun1+27)=7),JulSun1+27,""),IF(AND(YEAR(JulSun1+34)=CalendarYear,MONTH(JulSun1+34)=7),JulSun1+34,""))</f>
        <v>43309</v>
      </c>
      <c r="H11" s="13">
        <f ca="1">IF(DAY(JulSun1)=1,IF(AND(YEAR(JulSun1+28)=CalendarYear,MONTH(JulSun1+28)=7),JulSun1+28,""),IF(AND(YEAR(JulSun1+35)=CalendarYear,MONTH(JulSun1+35)=7),JulSun1+35,""))</f>
        <v>43310</v>
      </c>
    </row>
    <row r="12" spans="1:8" ht="57.95" customHeight="1">
      <c r="B12" s="15"/>
      <c r="C12" s="7"/>
      <c r="D12" s="8"/>
      <c r="E12" s="8"/>
      <c r="F12" s="7"/>
      <c r="G12" s="16"/>
      <c r="H12" s="17"/>
    </row>
    <row r="13" spans="1:8" ht="14.1" customHeight="1">
      <c r="B13" s="12">
        <f ca="1">IF(DAY(JulSun1)=1,IF(AND(YEAR(JulSun1+29)=CalendarYear,MONTH(JulSun1+29)=7),JulSun1+29,""),IF(AND(YEAR(JulSun1+36)=CalendarYear,MONTH(JulSun1+36)=7),JulSun1+36,""))</f>
        <v>43311</v>
      </c>
      <c r="C13" s="6">
        <f ca="1">IF(DAY(JulSun1)=1,IF(AND(YEAR(JulSun1+30)=CalendarYear,MONTH(JulSun1+30)=7),JulSun1+30,""),IF(AND(YEAR(JulSun1+37)=CalendarYear,MONTH(JulSun1+37)=7),JulSun1+37,""))</f>
        <v>43312</v>
      </c>
      <c r="D13" s="29" t="s">
        <v>8</v>
      </c>
      <c r="E13" s="29"/>
      <c r="F13" s="29"/>
      <c r="G13" s="29"/>
      <c r="H13" s="30"/>
    </row>
    <row r="14" spans="1:8" ht="57.95" customHeight="1" thickBot="1">
      <c r="B14" s="18"/>
      <c r="C14" s="14"/>
      <c r="D14" s="26"/>
      <c r="E14" s="27"/>
      <c r="F14" s="27"/>
      <c r="G14" s="27"/>
      <c r="H14" s="28"/>
    </row>
  </sheetData>
  <mergeCells count="3">
    <mergeCell ref="B1:H1"/>
    <mergeCell ref="D13:H13"/>
    <mergeCell ref="D14:H14"/>
  </mergeCells>
  <phoneticPr fontId="7" type="noConversion"/>
  <printOptions horizontalCentered="1" verticalCentered="1"/>
  <pageMargins left="0.5" right="0.5" top="0.75" bottom="0.75" header="0.5" footer="0.5"/>
  <headerFooter alignWithMargins="0"/>
</worksheet>
</file>

<file path=xl/worksheets/sheet7.xml><?xml version="1.0" encoding="utf-8"?>
<worksheet xmlns="http://schemas.openxmlformats.org/spreadsheetml/2006/main" xmlns:r="http://schemas.openxmlformats.org/officeDocument/2006/relationships">
  <sheetPr enableFormatConditionsCalculation="0">
    <pageSetUpPr fitToPage="1"/>
  </sheetPr>
  <dimension ref="A1:H14"/>
  <sheetViews>
    <sheetView showGridLines="0" workbookViewId="0">
      <selection activeCell="F16" sqref="F16"/>
    </sheetView>
  </sheetViews>
  <sheetFormatPr baseColWidth="10" defaultColWidth="8.75" defaultRowHeight="16.5"/>
  <cols>
    <col min="1" max="1" width="2.375" style="1" customWidth="1"/>
    <col min="2" max="8" width="17.375" customWidth="1"/>
    <col min="10" max="10" width="13.375" bestFit="1" customWidth="1"/>
    <col min="11" max="11" width="14.75" bestFit="1" customWidth="1"/>
  </cols>
  <sheetData>
    <row r="1" spans="1:8" s="1" customFormat="1" ht="59.25" customHeight="1" thickBot="1">
      <c r="B1" s="25">
        <f ca="1">DATE(CalendarYear,8,1)</f>
        <v>43313</v>
      </c>
      <c r="C1" s="25"/>
      <c r="D1" s="25"/>
      <c r="E1" s="25"/>
      <c r="F1" s="25"/>
      <c r="G1" s="25"/>
      <c r="H1" s="25"/>
    </row>
    <row r="2" spans="1:8" s="3" customFormat="1" ht="21.75" customHeight="1">
      <c r="A2" s="2"/>
      <c r="B2" s="9" t="s">
        <v>0</v>
      </c>
      <c r="C2" s="10" t="s">
        <v>1</v>
      </c>
      <c r="D2" s="10" t="s">
        <v>2</v>
      </c>
      <c r="E2" s="10" t="s">
        <v>3</v>
      </c>
      <c r="F2" s="10" t="s">
        <v>4</v>
      </c>
      <c r="G2" s="10" t="s">
        <v>5</v>
      </c>
      <c r="H2" s="11" t="s">
        <v>6</v>
      </c>
    </row>
    <row r="3" spans="1:8" ht="14.1" customHeight="1">
      <c r="B3" s="12" t="str">
        <f ca="1">IF(DAY(AugSun1)=1,"",IF(AND(YEAR(AugSun1+1)=CalendarYear,MONTH(AugSun1+1)=8),AugSun1+1,""))</f>
        <v/>
      </c>
      <c r="C3" s="6" t="str">
        <f ca="1">IF(DAY(AugSun1)=1,"",IF(AND(YEAR(AugSun1+2)=CalendarYear,MONTH(AugSun1+2)=8),AugSun1+2,""))</f>
        <v/>
      </c>
      <c r="D3" s="6">
        <f ca="1">IF(DAY(AugSun1)=1,"",IF(AND(YEAR(AugSun1+3)=CalendarYear,MONTH(AugSun1+3)=8),AugSun1+3,""))</f>
        <v>43313</v>
      </c>
      <c r="E3" s="6">
        <f ca="1">IF(DAY(AugSun1)=1,"",IF(AND(YEAR(AugSun1+4)=CalendarYear,MONTH(AugSun1+4)=8),AugSun1+4,""))</f>
        <v>43314</v>
      </c>
      <c r="F3" s="6">
        <f ca="1">IF(DAY(AugSun1)=1,"",IF(AND(YEAR(AugSun1+5)=CalendarYear,MONTH(AugSun1+5)=8),AugSun1+5,""))</f>
        <v>43315</v>
      </c>
      <c r="G3" s="6">
        <f ca="1">IF(DAY(AugSun1)=1,"",IF(AND(YEAR(AugSun1+6)=CalendarYear,MONTH(AugSun1+6)=8),AugSun1+6,""))</f>
        <v>43316</v>
      </c>
      <c r="H3" s="13">
        <f ca="1">IF(DAY(AugSun1)=1,IF(AND(YEAR(AugSun1)=CalendarYear,MONTH(AugSun1)=8),AugSun1,""),IF(AND(YEAR(AugSun1+7)=CalendarYear,MONTH(AugSun1+7)=8),AugSun1+7,""))</f>
        <v>43317</v>
      </c>
    </row>
    <row r="4" spans="1:8" ht="57.95" customHeight="1">
      <c r="B4" s="15"/>
      <c r="C4" s="7"/>
      <c r="D4" s="8"/>
      <c r="E4" s="8"/>
      <c r="F4" s="8"/>
      <c r="G4" s="16"/>
      <c r="H4" s="17"/>
    </row>
    <row r="5" spans="1:8" ht="14.1" customHeight="1">
      <c r="B5" s="12">
        <f ca="1">IF(DAY(AugSun1)=1,IF(AND(YEAR(AugSun1+1)=CalendarYear,MONTH(AugSun1+1)=8),AugSun1+1,""),IF(AND(YEAR(AugSun1+8)=CalendarYear,MONTH(AugSun1+8)=8),AugSun1+8,""))</f>
        <v>43318</v>
      </c>
      <c r="C5" s="6">
        <f ca="1">IF(DAY(AugSun1)=1,IF(AND(YEAR(AugSun1+2)=CalendarYear,MONTH(AugSun1+2)=8),AugSun1+2,""),IF(AND(YEAR(AugSun1+9)=CalendarYear,MONTH(AugSun1+9)=8),AugSun1+9,""))</f>
        <v>43319</v>
      </c>
      <c r="D5" s="6">
        <f ca="1">IF(DAY(AugSun1)=1,IF(AND(YEAR(AugSun1+3)=CalendarYear,MONTH(AugSun1+3)=8),AugSun1+3,""),IF(AND(YEAR(AugSun1+10)=CalendarYear,MONTH(AugSun1+10)=8),AugSun1+10,""))</f>
        <v>43320</v>
      </c>
      <c r="E5" s="6">
        <f ca="1">IF(DAY(AugSun1)=1,IF(AND(YEAR(AugSun1+4)=CalendarYear,MONTH(AugSun1+4)=8),AugSun1+4,""),IF(AND(YEAR(AugSun1+11)=CalendarYear,MONTH(AugSun1+11)=8),AugSun1+11,""))</f>
        <v>43321</v>
      </c>
      <c r="F5" s="6">
        <f ca="1">IF(DAY(AugSun1)=1,IF(AND(YEAR(AugSun1+5)=CalendarYear,MONTH(AugSun1+5)=8),AugSun1+5,""),IF(AND(YEAR(AugSun1+12)=CalendarYear,MONTH(AugSun1+12)=8),AugSun1+12,""))</f>
        <v>43322</v>
      </c>
      <c r="G5" s="6">
        <f ca="1">IF(DAY(AugSun1)=1,IF(AND(YEAR(AugSun1+6)=CalendarYear,MONTH(AugSun1+6)=8),AugSun1+6,""),IF(AND(YEAR(AugSun1+13)=CalendarYear,MONTH(AugSun1+13)=8),AugSun1+13,""))</f>
        <v>43323</v>
      </c>
      <c r="H5" s="13">
        <f ca="1">IF(DAY(AugSun1)=1,IF(AND(YEAR(AugSun1+7)=CalendarYear,MONTH(AugSun1+7)=8),AugSun1+7,""),IF(AND(YEAR(AugSun1+14)=CalendarYear,MONTH(AugSun1+14)=8),AugSun1+14,""))</f>
        <v>43324</v>
      </c>
    </row>
    <row r="6" spans="1:8" ht="57.95" customHeight="1">
      <c r="B6" s="15"/>
      <c r="C6" s="7"/>
      <c r="D6" s="8"/>
      <c r="E6" s="8"/>
      <c r="F6" s="8"/>
      <c r="G6" s="16"/>
      <c r="H6" s="17"/>
    </row>
    <row r="7" spans="1:8" ht="14.1" customHeight="1">
      <c r="B7" s="12">
        <f ca="1">IF(DAY(AugSun1)=1,IF(AND(YEAR(AugSun1+8)=CalendarYear,MONTH(AugSun1+8)=8),AugSun1+8,""),IF(AND(YEAR(AugSun1+15)=CalendarYear,MONTH(AugSun1+15)=8),AugSun1+15,""))</f>
        <v>43325</v>
      </c>
      <c r="C7" s="6">
        <f ca="1">IF(DAY(AugSun1)=1,IF(AND(YEAR(AugSun1+9)=CalendarYear,MONTH(AugSun1+9)=8),AugSun1+9,""),IF(AND(YEAR(AugSun1+16)=CalendarYear,MONTH(AugSun1+16)=8),AugSun1+16,""))</f>
        <v>43326</v>
      </c>
      <c r="D7" s="6">
        <f ca="1">IF(DAY(AugSun1)=1,IF(AND(YEAR(AugSun1+10)=CalendarYear,MONTH(AugSun1+10)=8),AugSun1+10,""),IF(AND(YEAR(AugSun1+17)=CalendarYear,MONTH(AugSun1+17)=8),AugSun1+17,""))</f>
        <v>43327</v>
      </c>
      <c r="E7" s="6">
        <f ca="1">IF(DAY(AugSun1)=1,IF(AND(YEAR(AugSun1+11)=CalendarYear,MONTH(AugSun1+11)=8),AugSun1+11,""),IF(AND(YEAR(AugSun1+18)=CalendarYear,MONTH(AugSun1+18)=8),AugSun1+18,""))</f>
        <v>43328</v>
      </c>
      <c r="F7" s="6">
        <f ca="1">IF(DAY(AugSun1)=1,IF(AND(YEAR(AugSun1+12)=CalendarYear,MONTH(AugSun1+12)=8),AugSun1+12,""),IF(AND(YEAR(AugSun1+19)=CalendarYear,MONTH(AugSun1+19)=8),AugSun1+19,""))</f>
        <v>43329</v>
      </c>
      <c r="G7" s="6">
        <f ca="1">IF(DAY(AugSun1)=1,IF(AND(YEAR(AugSun1+13)=CalendarYear,MONTH(AugSun1+13)=8),AugSun1+13,""),IF(AND(YEAR(AugSun1+20)=CalendarYear,MONTH(AugSun1+20)=8),AugSun1+20,""))</f>
        <v>43330</v>
      </c>
      <c r="H7" s="13">
        <f ca="1">IF(DAY(AugSun1)=1,IF(AND(YEAR(AugSun1+14)=CalendarYear,MONTH(AugSun1+14)=8),AugSun1+14,""),IF(AND(YEAR(AugSun1+21)=CalendarYear,MONTH(AugSun1+21)=8),AugSun1+21,""))</f>
        <v>43331</v>
      </c>
    </row>
    <row r="8" spans="1:8" ht="57.95" customHeight="1">
      <c r="B8" s="15"/>
      <c r="C8" s="7"/>
      <c r="D8" s="8"/>
      <c r="E8" s="8"/>
      <c r="F8" s="8"/>
      <c r="G8" s="16"/>
      <c r="H8" s="17"/>
    </row>
    <row r="9" spans="1:8" ht="14.1" customHeight="1">
      <c r="B9" s="12">
        <f ca="1">IF(DAY(AugSun1)=1,IF(AND(YEAR(AugSun1+15)=CalendarYear,MONTH(AugSun1+15)=8),AugSun1+15,""),IF(AND(YEAR(AugSun1+22)=CalendarYear,MONTH(AugSun1+22)=8),AugSun1+22,""))</f>
        <v>43332</v>
      </c>
      <c r="C9" s="6">
        <f ca="1">IF(DAY(AugSun1)=1,IF(AND(YEAR(AugSun1+16)=CalendarYear,MONTH(AugSun1+16)=8),AugSun1+16,""),IF(AND(YEAR(AugSun1+23)=CalendarYear,MONTH(AugSun1+23)=8),AugSun1+23,""))</f>
        <v>43333</v>
      </c>
      <c r="D9" s="6">
        <f ca="1">IF(DAY(AugSun1)=1,IF(AND(YEAR(AugSun1+17)=CalendarYear,MONTH(AugSun1+17)=8),AugSun1+17,""),IF(AND(YEAR(AugSun1+24)=CalendarYear,MONTH(AugSun1+24)=8),AugSun1+24,""))</f>
        <v>43334</v>
      </c>
      <c r="E9" s="6">
        <f ca="1">IF(DAY(AugSun1)=1,IF(AND(YEAR(AugSun1+18)=CalendarYear,MONTH(AugSun1+18)=8),AugSun1+18,""),IF(AND(YEAR(AugSun1+25)=CalendarYear,MONTH(AugSun1+25)=8),AugSun1+25,""))</f>
        <v>43335</v>
      </c>
      <c r="F9" s="6">
        <f ca="1">IF(DAY(AugSun1)=1,IF(AND(YEAR(AugSun1+19)=CalendarYear,MONTH(AugSun1+19)=8),AugSun1+19,""),IF(AND(YEAR(AugSun1+26)=CalendarYear,MONTH(AugSun1+26)=8),AugSun1+26,""))</f>
        <v>43336</v>
      </c>
      <c r="G9" s="6">
        <f ca="1">IF(DAY(AugSun1)=1,IF(AND(YEAR(AugSun1+20)=CalendarYear,MONTH(AugSun1+20)=8),AugSun1+20,""),IF(AND(YEAR(AugSun1+27)=CalendarYear,MONTH(AugSun1+27)=8),AugSun1+27,""))</f>
        <v>43337</v>
      </c>
      <c r="H9" s="13">
        <f ca="1">IF(DAY(AugSun1)=1,IF(AND(YEAR(AugSun1+21)=CalendarYear,MONTH(AugSun1+21)=8),AugSun1+21,""),IF(AND(YEAR(AugSun1+28)=CalendarYear,MONTH(AugSun1+28)=8),AugSun1+28,""))</f>
        <v>43338</v>
      </c>
    </row>
    <row r="10" spans="1:8" ht="57.95" customHeight="1">
      <c r="B10" s="15"/>
      <c r="C10" s="7"/>
      <c r="D10" s="8"/>
      <c r="E10" s="8"/>
      <c r="F10" s="8"/>
      <c r="G10" s="16"/>
      <c r="H10" s="17"/>
    </row>
    <row r="11" spans="1:8" ht="14.1" customHeight="1">
      <c r="B11" s="12">
        <f ca="1">IF(DAY(AugSun1)=1,IF(AND(YEAR(AugSun1+22)=CalendarYear,MONTH(AugSun1+22)=8),AugSun1+22,""),IF(AND(YEAR(AugSun1+29)=CalendarYear,MONTH(AugSun1+29)=8),AugSun1+29,""))</f>
        <v>43339</v>
      </c>
      <c r="C11" s="6">
        <f ca="1">IF(DAY(AugSun1)=1,IF(AND(YEAR(AugSun1+23)=CalendarYear,MONTH(AugSun1+23)=8),AugSun1+23,""),IF(AND(YEAR(AugSun1+30)=CalendarYear,MONTH(AugSun1+30)=8),AugSun1+30,""))</f>
        <v>43340</v>
      </c>
      <c r="D11" s="6">
        <f ca="1">IF(DAY(AugSun1)=1,IF(AND(YEAR(AugSun1+24)=CalendarYear,MONTH(AugSun1+24)=8),AugSun1+24,""),IF(AND(YEAR(AugSun1+31)=CalendarYear,MONTH(AugSun1+31)=8),AugSun1+31,""))</f>
        <v>43341</v>
      </c>
      <c r="E11" s="6">
        <f ca="1">IF(DAY(AugSun1)=1,IF(AND(YEAR(AugSun1+25)=CalendarYear,MONTH(AugSun1+25)=8),AugSun1+25,""),IF(AND(YEAR(AugSun1+32)=CalendarYear,MONTH(AugSun1+32)=8),AugSun1+32,""))</f>
        <v>43342</v>
      </c>
      <c r="F11" s="6">
        <f ca="1">IF(DAY(AugSun1)=1,IF(AND(YEAR(AugSun1+26)=CalendarYear,MONTH(AugSun1+26)=8),AugSun1+26,""),IF(AND(YEAR(AugSun1+33)=CalendarYear,MONTH(AugSun1+33)=8),AugSun1+33,""))</f>
        <v>43343</v>
      </c>
      <c r="G11" s="6" t="str">
        <f ca="1">IF(DAY(AugSun1)=1,IF(AND(YEAR(AugSun1+27)=CalendarYear,MONTH(AugSun1+27)=8),AugSun1+27,""),IF(AND(YEAR(AugSun1+34)=CalendarYear,MONTH(AugSun1+34)=8),AugSun1+34,""))</f>
        <v/>
      </c>
      <c r="H11" s="13" t="str">
        <f ca="1">IF(DAY(AugSun1)=1,IF(AND(YEAR(AugSun1+28)=CalendarYear,MONTH(AugSun1+28)=8),AugSun1+28,""),IF(AND(YEAR(AugSun1+35)=CalendarYear,MONTH(AugSun1+35)=8),AugSun1+35,""))</f>
        <v/>
      </c>
    </row>
    <row r="12" spans="1:8" ht="57.95" customHeight="1">
      <c r="B12" s="15"/>
      <c r="C12" s="7"/>
      <c r="D12" s="8"/>
      <c r="E12" s="8"/>
      <c r="F12" s="7"/>
      <c r="G12" s="16"/>
      <c r="H12" s="17"/>
    </row>
    <row r="13" spans="1:8" ht="14.1" customHeight="1">
      <c r="B13" s="12" t="str">
        <f ca="1">IF(DAY(AugSun1)=1,IF(AND(YEAR(AugSun1+29)=CalendarYear,MONTH(AugSun1+29)=8),AugSun1+29,""),IF(AND(YEAR(AugSun1+36)=CalendarYear,MONTH(AugSun1+36)=8),AugSun1+36,""))</f>
        <v/>
      </c>
      <c r="C13" s="6" t="str">
        <f ca="1">IF(DAY(AugSun1)=1,IF(AND(YEAR(AugSun1+30)=CalendarYear,MONTH(AugSun1+30)=8),AugSun1+30,""),IF(AND(YEAR(AugSun1+37)=CalendarYear,MONTH(AugSun1+37)=8),AugSun1+37,""))</f>
        <v/>
      </c>
      <c r="D13" s="29" t="s">
        <v>8</v>
      </c>
      <c r="E13" s="29"/>
      <c r="F13" s="29"/>
      <c r="G13" s="29"/>
      <c r="H13" s="30"/>
    </row>
    <row r="14" spans="1:8" ht="57.95" customHeight="1" thickBot="1">
      <c r="B14" s="18"/>
      <c r="C14" s="14"/>
      <c r="D14" s="26"/>
      <c r="E14" s="27"/>
      <c r="F14" s="27"/>
      <c r="G14" s="27"/>
      <c r="H14" s="28"/>
    </row>
  </sheetData>
  <mergeCells count="3">
    <mergeCell ref="B1:H1"/>
    <mergeCell ref="D13:H13"/>
    <mergeCell ref="D14:H14"/>
  </mergeCells>
  <phoneticPr fontId="7" type="noConversion"/>
  <printOptions horizontalCentered="1" verticalCentered="1"/>
  <pageMargins left="0.5" right="0.5" top="0.75" bottom="0.75" header="0.5" footer="0.5"/>
  <headerFooter alignWithMargins="0"/>
</worksheet>
</file>

<file path=xl/worksheets/sheet8.xml><?xml version="1.0" encoding="utf-8"?>
<worksheet xmlns="http://schemas.openxmlformats.org/spreadsheetml/2006/main" xmlns:r="http://schemas.openxmlformats.org/officeDocument/2006/relationships">
  <sheetPr enableFormatConditionsCalculation="0">
    <pageSetUpPr fitToPage="1"/>
  </sheetPr>
  <dimension ref="A1:H14"/>
  <sheetViews>
    <sheetView showGridLines="0" workbookViewId="0">
      <selection activeCell="D13" sqref="D13:H13"/>
    </sheetView>
  </sheetViews>
  <sheetFormatPr baseColWidth="10" defaultColWidth="8.75" defaultRowHeight="16.5"/>
  <cols>
    <col min="1" max="1" width="2.375" style="1" customWidth="1"/>
    <col min="2" max="8" width="17.375" customWidth="1"/>
    <col min="10" max="10" width="13.375" bestFit="1" customWidth="1"/>
    <col min="11" max="11" width="14.75" bestFit="1" customWidth="1"/>
  </cols>
  <sheetData>
    <row r="1" spans="1:8" s="1" customFormat="1" ht="59.25" customHeight="1" thickBot="1">
      <c r="B1" s="25">
        <f ca="1">DATE(CalendarYear,9,1)</f>
        <v>43344</v>
      </c>
      <c r="C1" s="25"/>
      <c r="D1" s="25"/>
      <c r="E1" s="25"/>
      <c r="F1" s="25"/>
      <c r="G1" s="25"/>
      <c r="H1" s="25"/>
    </row>
    <row r="2" spans="1:8" s="3" customFormat="1" ht="21.75" customHeight="1">
      <c r="A2" s="2"/>
      <c r="B2" s="9" t="s">
        <v>0</v>
      </c>
      <c r="C2" s="10" t="s">
        <v>1</v>
      </c>
      <c r="D2" s="10" t="s">
        <v>2</v>
      </c>
      <c r="E2" s="10" t="s">
        <v>3</v>
      </c>
      <c r="F2" s="10" t="s">
        <v>4</v>
      </c>
      <c r="G2" s="10" t="s">
        <v>5</v>
      </c>
      <c r="H2" s="11" t="s">
        <v>6</v>
      </c>
    </row>
    <row r="3" spans="1:8" ht="14.1" customHeight="1">
      <c r="B3" s="12" t="str">
        <f ca="1">IF(DAY(SepSun1)=1,"",IF(AND(YEAR(SepSun1+1)=CalendarYear,MONTH(SepSun1+1)=9),SepSun1+1,""))</f>
        <v/>
      </c>
      <c r="C3" s="6" t="str">
        <f ca="1">IF(DAY(SepSun1)=1,"",IF(AND(YEAR(SepSun1+2)=CalendarYear,MONTH(SepSun1+2)=9),SepSun1+2,""))</f>
        <v/>
      </c>
      <c r="D3" s="6" t="str">
        <f ca="1">IF(DAY(SepSun1)=1,"",IF(AND(YEAR(SepSun1+3)=CalendarYear,MONTH(SepSun1+3)=9),SepSun1+3,""))</f>
        <v/>
      </c>
      <c r="E3" s="6" t="str">
        <f ca="1">IF(DAY(SepSun1)=1,"",IF(AND(YEAR(SepSun1+4)=CalendarYear,MONTH(SepSun1+4)=9),SepSun1+4,""))</f>
        <v/>
      </c>
      <c r="F3" s="6" t="str">
        <f ca="1">IF(DAY(SepSun1)=1,"",IF(AND(YEAR(SepSun1+5)=CalendarYear,MONTH(SepSun1+5)=9),SepSun1+5,""))</f>
        <v/>
      </c>
      <c r="G3" s="6">
        <f ca="1">IF(DAY(SepSun1)=1,"",IF(AND(YEAR(SepSun1+6)=CalendarYear,MONTH(SepSun1+6)=9),SepSun1+6,""))</f>
        <v>43344</v>
      </c>
      <c r="H3" s="13">
        <f ca="1">IF(DAY(SepSun1)=1,IF(AND(YEAR(SepSun1)=CalendarYear,MONTH(SepSun1)=9),SepSun1,""),IF(AND(YEAR(SepSun1+7)=CalendarYear,MONTH(SepSun1+7)=9),SepSun1+7,""))</f>
        <v>43345</v>
      </c>
    </row>
    <row r="4" spans="1:8" ht="57.95" customHeight="1">
      <c r="B4" s="15"/>
      <c r="C4" s="7"/>
      <c r="D4" s="8"/>
      <c r="E4" s="8"/>
      <c r="F4" s="8"/>
      <c r="G4" s="16"/>
      <c r="H4" s="17"/>
    </row>
    <row r="5" spans="1:8" ht="14.1" customHeight="1">
      <c r="B5" s="12">
        <f ca="1">IF(DAY(SepSun1)=1,IF(AND(YEAR(SepSun1+1)=CalendarYear,MONTH(SepSun1+1)=9),SepSun1+1,""),IF(AND(YEAR(SepSun1+8)=CalendarYear,MONTH(SepSun1+8)=9),SepSun1+8,""))</f>
        <v>43346</v>
      </c>
      <c r="C5" s="6">
        <f ca="1">IF(DAY(SepSun1)=1,IF(AND(YEAR(SepSun1+2)=CalendarYear,MONTH(SepSun1+2)=9),SepSun1+2,""),IF(AND(YEAR(SepSun1+9)=CalendarYear,MONTH(SepSun1+9)=9),SepSun1+9,""))</f>
        <v>43347</v>
      </c>
      <c r="D5" s="6">
        <f ca="1">IF(DAY(SepSun1)=1,IF(AND(YEAR(SepSun1+3)=CalendarYear,MONTH(SepSun1+3)=9),SepSun1+3,""),IF(AND(YEAR(SepSun1+10)=CalendarYear,MONTH(SepSun1+10)=9),SepSun1+10,""))</f>
        <v>43348</v>
      </c>
      <c r="E5" s="6">
        <f ca="1">IF(DAY(SepSun1)=1,IF(AND(YEAR(SepSun1+4)=CalendarYear,MONTH(SepSun1+4)=9),SepSun1+4,""),IF(AND(YEAR(SepSun1+11)=CalendarYear,MONTH(SepSun1+11)=9),SepSun1+11,""))</f>
        <v>43349</v>
      </c>
      <c r="F5" s="6">
        <f ca="1">IF(DAY(SepSun1)=1,IF(AND(YEAR(SepSun1+5)=CalendarYear,MONTH(SepSun1+5)=9),SepSun1+5,""),IF(AND(YEAR(SepSun1+12)=CalendarYear,MONTH(SepSun1+12)=9),SepSun1+12,""))</f>
        <v>43350</v>
      </c>
      <c r="G5" s="6">
        <f ca="1">IF(DAY(SepSun1)=1,IF(AND(YEAR(SepSun1+6)=CalendarYear,MONTH(SepSun1+6)=9),SepSun1+6,""),IF(AND(YEAR(SepSun1+13)=CalendarYear,MONTH(SepSun1+13)=9),SepSun1+13,""))</f>
        <v>43351</v>
      </c>
      <c r="H5" s="13">
        <f ca="1">IF(DAY(SepSun1)=1,IF(AND(YEAR(SepSun1+7)=CalendarYear,MONTH(SepSun1+7)=9),SepSun1+7,""),IF(AND(YEAR(SepSun1+14)=CalendarYear,MONTH(SepSun1+14)=9),SepSun1+14,""))</f>
        <v>43352</v>
      </c>
    </row>
    <row r="6" spans="1:8" ht="57.95" customHeight="1">
      <c r="B6" s="15"/>
      <c r="C6" s="7"/>
      <c r="D6" s="8"/>
      <c r="E6" s="8"/>
      <c r="F6" s="8"/>
      <c r="G6" s="16"/>
      <c r="H6" s="17"/>
    </row>
    <row r="7" spans="1:8" ht="14.1" customHeight="1">
      <c r="B7" s="12">
        <f ca="1">IF(DAY(SepSun1)=1,IF(AND(YEAR(SepSun1+8)=CalendarYear,MONTH(SepSun1+8)=9),SepSun1+8,""),IF(AND(YEAR(SepSun1+15)=CalendarYear,MONTH(SepSun1+15)=9),SepSun1+15,""))</f>
        <v>43353</v>
      </c>
      <c r="C7" s="6">
        <f ca="1">IF(DAY(SepSun1)=1,IF(AND(YEAR(SepSun1+9)=CalendarYear,MONTH(SepSun1+9)=9),SepSun1+9,""),IF(AND(YEAR(SepSun1+16)=CalendarYear,MONTH(SepSun1+16)=9),SepSun1+16,""))</f>
        <v>43354</v>
      </c>
      <c r="D7" s="6">
        <f ca="1">IF(DAY(SepSun1)=1,IF(AND(YEAR(SepSun1+10)=CalendarYear,MONTH(SepSun1+10)=9),SepSun1+10,""),IF(AND(YEAR(SepSun1+17)=CalendarYear,MONTH(SepSun1+17)=9),SepSun1+17,""))</f>
        <v>43355</v>
      </c>
      <c r="E7" s="6">
        <f ca="1">IF(DAY(SepSun1)=1,IF(AND(YEAR(SepSun1+11)=CalendarYear,MONTH(SepSun1+11)=9),SepSun1+11,""),IF(AND(YEAR(SepSun1+18)=CalendarYear,MONTH(SepSun1+18)=9),SepSun1+18,""))</f>
        <v>43356</v>
      </c>
      <c r="F7" s="6">
        <f ca="1">IF(DAY(SepSun1)=1,IF(AND(YEAR(SepSun1+12)=CalendarYear,MONTH(SepSun1+12)=9),SepSun1+12,""),IF(AND(YEAR(SepSun1+19)=CalendarYear,MONTH(SepSun1+19)=9),SepSun1+19,""))</f>
        <v>43357</v>
      </c>
      <c r="G7" s="6">
        <f ca="1">IF(DAY(SepSun1)=1,IF(AND(YEAR(SepSun1+13)=CalendarYear,MONTH(SepSun1+13)=9),SepSun1+13,""),IF(AND(YEAR(SepSun1+20)=CalendarYear,MONTH(SepSun1+20)=9),SepSun1+20,""))</f>
        <v>43358</v>
      </c>
      <c r="H7" s="13">
        <f ca="1">IF(DAY(SepSun1)=1,IF(AND(YEAR(SepSun1+14)=CalendarYear,MONTH(SepSun1+14)=9),SepSun1+14,""),IF(AND(YEAR(SepSun1+21)=CalendarYear,MONTH(SepSun1+21)=9),SepSun1+21,""))</f>
        <v>43359</v>
      </c>
    </row>
    <row r="8" spans="1:8" ht="57.95" customHeight="1">
      <c r="B8" s="15"/>
      <c r="C8" s="7"/>
      <c r="D8" s="8"/>
      <c r="E8" s="8"/>
      <c r="F8" s="8"/>
      <c r="G8" s="16"/>
      <c r="H8" s="17"/>
    </row>
    <row r="9" spans="1:8" ht="14.1" customHeight="1">
      <c r="B9" s="12">
        <f ca="1">IF(DAY(SepSun1)=1,IF(AND(YEAR(SepSun1+15)=CalendarYear,MONTH(SepSun1+15)=9),SepSun1+15,""),IF(AND(YEAR(SepSun1+22)=CalendarYear,MONTH(SepSun1+22)=9),SepSun1+22,""))</f>
        <v>43360</v>
      </c>
      <c r="C9" s="6">
        <f ca="1">IF(DAY(SepSun1)=1,IF(AND(YEAR(SepSun1+16)=CalendarYear,MONTH(SepSun1+16)=9),SepSun1+16,""),IF(AND(YEAR(SepSun1+23)=CalendarYear,MONTH(SepSun1+23)=9),SepSun1+23,""))</f>
        <v>43361</v>
      </c>
      <c r="D9" s="6">
        <f ca="1">IF(DAY(SepSun1)=1,IF(AND(YEAR(SepSun1+17)=CalendarYear,MONTH(SepSun1+17)=9),SepSun1+17,""),IF(AND(YEAR(SepSun1+24)=CalendarYear,MONTH(SepSun1+24)=9),SepSun1+24,""))</f>
        <v>43362</v>
      </c>
      <c r="E9" s="6">
        <f ca="1">IF(DAY(SepSun1)=1,IF(AND(YEAR(SepSun1+18)=CalendarYear,MONTH(SepSun1+18)=9),SepSun1+18,""),IF(AND(YEAR(SepSun1+25)=CalendarYear,MONTH(SepSun1+25)=9),SepSun1+25,""))</f>
        <v>43363</v>
      </c>
      <c r="F9" s="6">
        <f ca="1">IF(DAY(SepSun1)=1,IF(AND(YEAR(SepSun1+19)=CalendarYear,MONTH(SepSun1+19)=9),SepSun1+19,""),IF(AND(YEAR(SepSun1+26)=CalendarYear,MONTH(SepSun1+26)=9),SepSun1+26,""))</f>
        <v>43364</v>
      </c>
      <c r="G9" s="6">
        <f ca="1">IF(DAY(SepSun1)=1,IF(AND(YEAR(SepSun1+20)=CalendarYear,MONTH(SepSun1+20)=9),SepSun1+20,""),IF(AND(YEAR(SepSun1+27)=CalendarYear,MONTH(SepSun1+27)=9),SepSun1+27,""))</f>
        <v>43365</v>
      </c>
      <c r="H9" s="13">
        <f ca="1">IF(DAY(SepSun1)=1,IF(AND(YEAR(SepSun1+21)=CalendarYear,MONTH(SepSun1+21)=9),SepSun1+21,""),IF(AND(YEAR(SepSun1+28)=CalendarYear,MONTH(SepSun1+28)=9),SepSun1+28,""))</f>
        <v>43366</v>
      </c>
    </row>
    <row r="10" spans="1:8" ht="57.95" customHeight="1">
      <c r="B10" s="15"/>
      <c r="C10" s="7"/>
      <c r="D10" s="8"/>
      <c r="E10" s="8"/>
      <c r="F10" s="8"/>
      <c r="G10" s="16"/>
      <c r="H10" s="17"/>
    </row>
    <row r="11" spans="1:8" ht="14.1" customHeight="1">
      <c r="B11" s="12">
        <f ca="1">IF(DAY(SepSun1)=1,IF(AND(YEAR(SepSun1+22)=CalendarYear,MONTH(SepSun1+22)=9),SepSun1+22,""),IF(AND(YEAR(SepSun1+29)=CalendarYear,MONTH(SepSun1+29)=9),SepSun1+29,""))</f>
        <v>43367</v>
      </c>
      <c r="C11" s="6">
        <f ca="1">IF(DAY(SepSun1)=1,IF(AND(YEAR(SepSun1+23)=CalendarYear,MONTH(SepSun1+23)=9),SepSun1+23,""),IF(AND(YEAR(SepSun1+30)=CalendarYear,MONTH(SepSun1+30)=9),SepSun1+30,""))</f>
        <v>43368</v>
      </c>
      <c r="D11" s="6">
        <f ca="1">IF(DAY(SepSun1)=1,IF(AND(YEAR(SepSun1+24)=CalendarYear,MONTH(SepSun1+24)=9),SepSun1+24,""),IF(AND(YEAR(SepSun1+31)=CalendarYear,MONTH(SepSun1+31)=9),SepSun1+31,""))</f>
        <v>43369</v>
      </c>
      <c r="E11" s="6">
        <f ca="1">IF(DAY(SepSun1)=1,IF(AND(YEAR(SepSun1+25)=CalendarYear,MONTH(SepSun1+25)=9),SepSun1+25,""),IF(AND(YEAR(SepSun1+32)=CalendarYear,MONTH(SepSun1+32)=9),SepSun1+32,""))</f>
        <v>43370</v>
      </c>
      <c r="F11" s="6">
        <f ca="1">IF(DAY(SepSun1)=1,IF(AND(YEAR(SepSun1+26)=CalendarYear,MONTH(SepSun1+26)=9),SepSun1+26,""),IF(AND(YEAR(SepSun1+33)=CalendarYear,MONTH(SepSun1+33)=9),SepSun1+33,""))</f>
        <v>43371</v>
      </c>
      <c r="G11" s="6">
        <f ca="1">IF(DAY(SepSun1)=1,IF(AND(YEAR(SepSun1+27)=CalendarYear,MONTH(SepSun1+27)=9),SepSun1+27,""),IF(AND(YEAR(SepSun1+34)=CalendarYear,MONTH(SepSun1+34)=9),SepSun1+34,""))</f>
        <v>43372</v>
      </c>
      <c r="H11" s="13">
        <f ca="1">IF(DAY(SepSun1)=1,IF(AND(YEAR(SepSun1+28)=CalendarYear,MONTH(SepSun1+28)=9),SepSun1+28,""),IF(AND(YEAR(SepSun1+35)=CalendarYear,MONTH(SepSun1+35)=9),SepSun1+35,""))</f>
        <v>43373</v>
      </c>
    </row>
    <row r="12" spans="1:8" ht="57.95" customHeight="1">
      <c r="B12" s="15"/>
      <c r="C12" s="7"/>
      <c r="D12" s="8"/>
      <c r="E12" s="8"/>
      <c r="F12" s="7"/>
      <c r="G12" s="16"/>
      <c r="H12" s="17"/>
    </row>
    <row r="13" spans="1:8" ht="14.1" customHeight="1">
      <c r="B13" s="12" t="str">
        <f ca="1">IF(DAY(SepSun1)=1,IF(AND(YEAR(SepSun1+29)=CalendarYear,MONTH(SepSun1+29)=9),SepSun1+29,""),IF(AND(YEAR(SepSun1+36)=CalendarYear,MONTH(SepSun1+36)=9),SepSun1+36,""))</f>
        <v/>
      </c>
      <c r="C13" s="6" t="str">
        <f ca="1">IF(DAY(SepSun1)=1,IF(AND(YEAR(SepSun1+30)=CalendarYear,MONTH(SepSun1+30)=9),SepSun1+30,""),IF(AND(YEAR(SepSun1+37)=CalendarYear,MONTH(SepSun1+37)=9),SepSun1+37,""))</f>
        <v/>
      </c>
      <c r="D13" s="29" t="s">
        <v>8</v>
      </c>
      <c r="E13" s="29"/>
      <c r="F13" s="29"/>
      <c r="G13" s="29"/>
      <c r="H13" s="30"/>
    </row>
    <row r="14" spans="1:8" ht="57.95" customHeight="1" thickBot="1">
      <c r="B14" s="18"/>
      <c r="C14" s="14"/>
      <c r="D14" s="26"/>
      <c r="E14" s="27"/>
      <c r="F14" s="27"/>
      <c r="G14" s="27"/>
      <c r="H14" s="28"/>
    </row>
  </sheetData>
  <mergeCells count="3">
    <mergeCell ref="B1:H1"/>
    <mergeCell ref="D13:H13"/>
    <mergeCell ref="D14:H14"/>
  </mergeCells>
  <phoneticPr fontId="7" type="noConversion"/>
  <printOptions horizontalCentered="1" verticalCentered="1"/>
  <pageMargins left="0.5" right="0.5" top="0.75" bottom="0.75" header="0.5" footer="0.5"/>
  <headerFooter alignWithMargins="0"/>
</worksheet>
</file>

<file path=xl/worksheets/sheet9.xml><?xml version="1.0" encoding="utf-8"?>
<worksheet xmlns="http://schemas.openxmlformats.org/spreadsheetml/2006/main" xmlns:r="http://schemas.openxmlformats.org/officeDocument/2006/relationships">
  <sheetPr enableFormatConditionsCalculation="0">
    <pageSetUpPr fitToPage="1"/>
  </sheetPr>
  <dimension ref="A1:H14"/>
  <sheetViews>
    <sheetView showGridLines="0" workbookViewId="0">
      <selection activeCell="D13" sqref="D13:H13"/>
    </sheetView>
  </sheetViews>
  <sheetFormatPr baseColWidth="10" defaultColWidth="8.75" defaultRowHeight="16.5"/>
  <cols>
    <col min="1" max="1" width="2.375" style="1" customWidth="1"/>
    <col min="2" max="8" width="17.375" customWidth="1"/>
    <col min="10" max="10" width="13.375" bestFit="1" customWidth="1"/>
    <col min="11" max="11" width="14.75" bestFit="1" customWidth="1"/>
  </cols>
  <sheetData>
    <row r="1" spans="1:8" s="1" customFormat="1" ht="59.25" customHeight="1" thickBot="1">
      <c r="B1" s="25">
        <f ca="1">DATE(CalendarYear,10,1)</f>
        <v>43374</v>
      </c>
      <c r="C1" s="25"/>
      <c r="D1" s="25"/>
      <c r="E1" s="25"/>
      <c r="F1" s="25"/>
      <c r="G1" s="25"/>
      <c r="H1" s="25"/>
    </row>
    <row r="2" spans="1:8" s="3" customFormat="1" ht="21.75" customHeight="1">
      <c r="A2" s="2"/>
      <c r="B2" s="9" t="s">
        <v>0</v>
      </c>
      <c r="C2" s="10" t="s">
        <v>1</v>
      </c>
      <c r="D2" s="10" t="s">
        <v>2</v>
      </c>
      <c r="E2" s="10" t="s">
        <v>3</v>
      </c>
      <c r="F2" s="10" t="s">
        <v>4</v>
      </c>
      <c r="G2" s="10" t="s">
        <v>5</v>
      </c>
      <c r="H2" s="11" t="s">
        <v>6</v>
      </c>
    </row>
    <row r="3" spans="1:8" ht="14.1" customHeight="1">
      <c r="B3" s="12">
        <f ca="1">IF(DAY(OctSun1)=1,"",IF(AND(YEAR(OctSun1+1)=CalendarYear,MONTH(OctSun1+1)=10),OctSun1+1,""))</f>
        <v>43374</v>
      </c>
      <c r="C3" s="6">
        <f ca="1">IF(DAY(OctSun1)=1,"",IF(AND(YEAR(OctSun1+2)=CalendarYear,MONTH(OctSun1+2)=10),OctSun1+2,""))</f>
        <v>43375</v>
      </c>
      <c r="D3" s="6">
        <f ca="1">IF(DAY(OctSun1)=1,"",IF(AND(YEAR(OctSun1+3)=CalendarYear,MONTH(OctSun1+3)=10),OctSun1+3,""))</f>
        <v>43376</v>
      </c>
      <c r="E3" s="6">
        <f ca="1">IF(DAY(OctSun1)=1,"",IF(AND(YEAR(OctSun1+4)=CalendarYear,MONTH(OctSun1+4)=10),OctSun1+4,""))</f>
        <v>43377</v>
      </c>
      <c r="F3" s="6">
        <f ca="1">IF(DAY(OctSun1)=1,"",IF(AND(YEAR(OctSun1+5)=CalendarYear,MONTH(OctSun1+5)=10),OctSun1+5,""))</f>
        <v>43378</v>
      </c>
      <c r="G3" s="6">
        <f ca="1">IF(DAY(OctSun1)=1,"",IF(AND(YEAR(OctSun1+6)=CalendarYear,MONTH(OctSun1+6)=10),OctSun1+6,""))</f>
        <v>43379</v>
      </c>
      <c r="H3" s="13">
        <f ca="1">IF(DAY(OctSun1)=1,IF(AND(YEAR(OctSun1)=CalendarYear,MONTH(OctSun1)=10),OctSun1,""),IF(AND(YEAR(OctSun1+7)=CalendarYear,MONTH(OctSun1+7)=10),OctSun1+7,""))</f>
        <v>43380</v>
      </c>
    </row>
    <row r="4" spans="1:8" ht="57.95" customHeight="1">
      <c r="B4" s="15"/>
      <c r="C4" s="7"/>
      <c r="D4" s="8"/>
      <c r="E4" s="8"/>
      <c r="F4" s="8"/>
      <c r="G4" s="16"/>
      <c r="H4" s="17"/>
    </row>
    <row r="5" spans="1:8" ht="14.1" customHeight="1">
      <c r="B5" s="12">
        <f ca="1">IF(DAY(OctSun1)=1,IF(AND(YEAR(OctSun1+1)=CalendarYear,MONTH(OctSun1+1)=10),OctSun1+1,""),IF(AND(YEAR(OctSun1+8)=CalendarYear,MONTH(OctSun1+8)=10),OctSun1+8,""))</f>
        <v>43381</v>
      </c>
      <c r="C5" s="6">
        <f ca="1">IF(DAY(OctSun1)=1,IF(AND(YEAR(OctSun1+2)=CalendarYear,MONTH(OctSun1+2)=10),OctSun1+2,""),IF(AND(YEAR(OctSun1+9)=CalendarYear,MONTH(OctSun1+9)=10),OctSun1+9,""))</f>
        <v>43382</v>
      </c>
      <c r="D5" s="6">
        <f ca="1">IF(DAY(OctSun1)=1,IF(AND(YEAR(OctSun1+3)=CalendarYear,MONTH(OctSun1+3)=10),OctSun1+3,""),IF(AND(YEAR(OctSun1+10)=CalendarYear,MONTH(OctSun1+10)=10),OctSun1+10,""))</f>
        <v>43383</v>
      </c>
      <c r="E5" s="6">
        <f ca="1">IF(DAY(OctSun1)=1,IF(AND(YEAR(OctSun1+4)=CalendarYear,MONTH(OctSun1+4)=10),OctSun1+4,""),IF(AND(YEAR(OctSun1+11)=CalendarYear,MONTH(OctSun1+11)=10),OctSun1+11,""))</f>
        <v>43384</v>
      </c>
      <c r="F5" s="6">
        <f ca="1">IF(DAY(OctSun1)=1,IF(AND(YEAR(OctSun1+5)=CalendarYear,MONTH(OctSun1+5)=10),OctSun1+5,""),IF(AND(YEAR(OctSun1+12)=CalendarYear,MONTH(OctSun1+12)=10),OctSun1+12,""))</f>
        <v>43385</v>
      </c>
      <c r="G5" s="6">
        <f ca="1">IF(DAY(OctSun1)=1,IF(AND(YEAR(OctSun1+6)=CalendarYear,MONTH(OctSun1+6)=10),OctSun1+6,""),IF(AND(YEAR(OctSun1+13)=CalendarYear,MONTH(OctSun1+13)=10),OctSun1+13,""))</f>
        <v>43386</v>
      </c>
      <c r="H5" s="13">
        <f ca="1">IF(DAY(OctSun1)=1,IF(AND(YEAR(OctSun1+7)=CalendarYear,MONTH(OctSun1+7)=10),OctSun1+7,""),IF(AND(YEAR(OctSun1+14)=CalendarYear,MONTH(OctSun1+14)=10),OctSun1+14,""))</f>
        <v>43387</v>
      </c>
    </row>
    <row r="6" spans="1:8" ht="57.95" customHeight="1">
      <c r="B6" s="15"/>
      <c r="C6" s="7"/>
      <c r="D6" s="8"/>
      <c r="E6" s="8"/>
      <c r="F6" s="8"/>
      <c r="G6" s="16"/>
      <c r="H6" s="17"/>
    </row>
    <row r="7" spans="1:8" ht="14.1" customHeight="1">
      <c r="B7" s="12">
        <f ca="1">IF(DAY(OctSun1)=1,IF(AND(YEAR(OctSun1+8)=CalendarYear,MONTH(OctSun1+8)=10),OctSun1+8,""),IF(AND(YEAR(OctSun1+15)=CalendarYear,MONTH(OctSun1+15)=10),OctSun1+15,""))</f>
        <v>43388</v>
      </c>
      <c r="C7" s="6">
        <f ca="1">IF(DAY(OctSun1)=1,IF(AND(YEAR(OctSun1+9)=CalendarYear,MONTH(OctSun1+9)=10),OctSun1+9,""),IF(AND(YEAR(OctSun1+16)=CalendarYear,MONTH(OctSun1+16)=10),OctSun1+16,""))</f>
        <v>43389</v>
      </c>
      <c r="D7" s="6">
        <f ca="1">IF(DAY(OctSun1)=1,IF(AND(YEAR(OctSun1+10)=CalendarYear,MONTH(OctSun1+10)=10),OctSun1+10,""),IF(AND(YEAR(OctSun1+17)=CalendarYear,MONTH(OctSun1+17)=10),OctSun1+17,""))</f>
        <v>43390</v>
      </c>
      <c r="E7" s="6">
        <f ca="1">IF(DAY(OctSun1)=1,IF(AND(YEAR(OctSun1+11)=CalendarYear,MONTH(OctSun1+11)=10),OctSun1+11,""),IF(AND(YEAR(OctSun1+18)=CalendarYear,MONTH(OctSun1+18)=10),OctSun1+18,""))</f>
        <v>43391</v>
      </c>
      <c r="F7" s="6">
        <f ca="1">IF(DAY(OctSun1)=1,IF(AND(YEAR(OctSun1+12)=CalendarYear,MONTH(OctSun1+12)=10),OctSun1+12,""),IF(AND(YEAR(OctSun1+19)=CalendarYear,MONTH(OctSun1+19)=10),OctSun1+19,""))</f>
        <v>43392</v>
      </c>
      <c r="G7" s="6">
        <f ca="1">IF(DAY(OctSun1)=1,IF(AND(YEAR(OctSun1+13)=CalendarYear,MONTH(OctSun1+13)=10),OctSun1+13,""),IF(AND(YEAR(OctSun1+20)=CalendarYear,MONTH(OctSun1+20)=10),OctSun1+20,""))</f>
        <v>43393</v>
      </c>
      <c r="H7" s="13">
        <f ca="1">IF(DAY(OctSun1)=1,IF(AND(YEAR(OctSun1+14)=CalendarYear,MONTH(OctSun1+14)=10),OctSun1+14,""),IF(AND(YEAR(OctSun1+21)=CalendarYear,MONTH(OctSun1+21)=10),OctSun1+21,""))</f>
        <v>43394</v>
      </c>
    </row>
    <row r="8" spans="1:8" ht="57.95" customHeight="1">
      <c r="B8" s="15"/>
      <c r="C8" s="7"/>
      <c r="D8" s="8"/>
      <c r="E8" s="8"/>
      <c r="F8" s="8"/>
      <c r="G8" s="16"/>
      <c r="H8" s="17"/>
    </row>
    <row r="9" spans="1:8" ht="14.1" customHeight="1">
      <c r="B9" s="12">
        <f ca="1">IF(DAY(OctSun1)=1,IF(AND(YEAR(OctSun1+15)=CalendarYear,MONTH(OctSun1+15)=10),OctSun1+15,""),IF(AND(YEAR(OctSun1+22)=CalendarYear,MONTH(OctSun1+22)=10),OctSun1+22,""))</f>
        <v>43395</v>
      </c>
      <c r="C9" s="6">
        <f ca="1">IF(DAY(OctSun1)=1,IF(AND(YEAR(OctSun1+16)=CalendarYear,MONTH(OctSun1+16)=10),OctSun1+16,""),IF(AND(YEAR(OctSun1+23)=CalendarYear,MONTH(OctSun1+23)=10),OctSun1+23,""))</f>
        <v>43396</v>
      </c>
      <c r="D9" s="6">
        <f ca="1">IF(DAY(OctSun1)=1,IF(AND(YEAR(OctSun1+17)=CalendarYear,MONTH(OctSun1+17)=10),OctSun1+17,""),IF(AND(YEAR(OctSun1+24)=CalendarYear,MONTH(OctSun1+24)=10),OctSun1+24,""))</f>
        <v>43397</v>
      </c>
      <c r="E9" s="6">
        <f ca="1">IF(DAY(OctSun1)=1,IF(AND(YEAR(OctSun1+18)=CalendarYear,MONTH(OctSun1+18)=10),OctSun1+18,""),IF(AND(YEAR(OctSun1+25)=CalendarYear,MONTH(OctSun1+25)=10),OctSun1+25,""))</f>
        <v>43398</v>
      </c>
      <c r="F9" s="6">
        <f ca="1">IF(DAY(OctSun1)=1,IF(AND(YEAR(OctSun1+19)=CalendarYear,MONTH(OctSun1+19)=10),OctSun1+19,""),IF(AND(YEAR(OctSun1+26)=CalendarYear,MONTH(OctSun1+26)=10),OctSun1+26,""))</f>
        <v>43399</v>
      </c>
      <c r="G9" s="6">
        <f ca="1">IF(DAY(OctSun1)=1,IF(AND(YEAR(OctSun1+20)=CalendarYear,MONTH(OctSun1+20)=10),OctSun1+20,""),IF(AND(YEAR(OctSun1+27)=CalendarYear,MONTH(OctSun1+27)=10),OctSun1+27,""))</f>
        <v>43400</v>
      </c>
      <c r="H9" s="13">
        <f ca="1">IF(DAY(OctSun1)=1,IF(AND(YEAR(OctSun1+21)=CalendarYear,MONTH(OctSun1+21)=10),OctSun1+21,""),IF(AND(YEAR(OctSun1+28)=CalendarYear,MONTH(OctSun1+28)=10),OctSun1+28,""))</f>
        <v>43401</v>
      </c>
    </row>
    <row r="10" spans="1:8" ht="57.95" customHeight="1">
      <c r="B10" s="15"/>
      <c r="C10" s="7"/>
      <c r="D10" s="8"/>
      <c r="E10" s="8"/>
      <c r="F10" s="8"/>
      <c r="G10" s="16"/>
      <c r="H10" s="17"/>
    </row>
    <row r="11" spans="1:8" ht="14.1" customHeight="1">
      <c r="B11" s="12">
        <f ca="1">IF(DAY(OctSun1)=1,IF(AND(YEAR(OctSun1+22)=CalendarYear,MONTH(OctSun1+22)=10),OctSun1+22,""),IF(AND(YEAR(OctSun1+29)=CalendarYear,MONTH(OctSun1+29)=10),OctSun1+29,""))</f>
        <v>43402</v>
      </c>
      <c r="C11" s="6">
        <f ca="1">IF(DAY(OctSun1)=1,IF(AND(YEAR(OctSun1+23)=CalendarYear,MONTH(OctSun1+23)=10),OctSun1+23,""),IF(AND(YEAR(OctSun1+30)=CalendarYear,MONTH(OctSun1+30)=10),OctSun1+30,""))</f>
        <v>43403</v>
      </c>
      <c r="D11" s="6">
        <f ca="1">IF(DAY(OctSun1)=1,IF(AND(YEAR(OctSun1+24)=CalendarYear,MONTH(OctSun1+24)=10),OctSun1+24,""),IF(AND(YEAR(OctSun1+31)=CalendarYear,MONTH(OctSun1+31)=10),OctSun1+31,""))</f>
        <v>43404</v>
      </c>
      <c r="E11" s="6" t="str">
        <f ca="1">IF(DAY(OctSun1)=1,IF(AND(YEAR(OctSun1+25)=CalendarYear,MONTH(OctSun1+25)=10),OctSun1+25,""),IF(AND(YEAR(OctSun1+32)=CalendarYear,MONTH(OctSun1+32)=10),OctSun1+32,""))</f>
        <v/>
      </c>
      <c r="F11" s="6" t="str">
        <f ca="1">IF(DAY(OctSun1)=1,IF(AND(YEAR(OctSun1+26)=CalendarYear,MONTH(OctSun1+26)=10),OctSun1+26,""),IF(AND(YEAR(OctSun1+33)=CalendarYear,MONTH(OctSun1+33)=10),OctSun1+33,""))</f>
        <v/>
      </c>
      <c r="G11" s="6" t="str">
        <f ca="1">IF(DAY(OctSun1)=1,IF(AND(YEAR(OctSun1+27)=CalendarYear,MONTH(OctSun1+27)=10),OctSun1+27,""),IF(AND(YEAR(OctSun1+34)=CalendarYear,MONTH(OctSun1+34)=10),OctSun1+34,""))</f>
        <v/>
      </c>
      <c r="H11" s="13" t="str">
        <f ca="1">IF(DAY(OctSun1)=1,IF(AND(YEAR(OctSun1+28)=CalendarYear,MONTH(OctSun1+28)=10),OctSun1+28,""),IF(AND(YEAR(OctSun1+35)=CalendarYear,MONTH(OctSun1+35)=10),OctSun1+35,""))</f>
        <v/>
      </c>
    </row>
    <row r="12" spans="1:8" ht="57.95" customHeight="1">
      <c r="B12" s="15"/>
      <c r="C12" s="7"/>
      <c r="D12" s="8"/>
      <c r="E12" s="8"/>
      <c r="F12" s="7"/>
      <c r="G12" s="16"/>
      <c r="H12" s="17"/>
    </row>
    <row r="13" spans="1:8" ht="14.1" customHeight="1">
      <c r="B13" s="12" t="str">
        <f ca="1">IF(DAY(OctSun1)=1,IF(AND(YEAR(OctSun1+29)=CalendarYear,MONTH(OctSun1+29)=10),OctSun1+29,""),IF(AND(YEAR(OctSun1+36)=CalendarYear,MONTH(OctSun1+36)=10),OctSun1+36,""))</f>
        <v/>
      </c>
      <c r="C13" s="6" t="str">
        <f ca="1">IF(DAY(OctSun1)=1,IF(AND(YEAR(OctSun1+30)=CalendarYear,MONTH(OctSun1+30)=10),OctSun1+30,""),IF(AND(YEAR(OctSun1+37)=CalendarYear,MONTH(OctSun1+37)=10),OctSun1+37,""))</f>
        <v/>
      </c>
      <c r="D13" s="29" t="s">
        <v>8</v>
      </c>
      <c r="E13" s="29"/>
      <c r="F13" s="29"/>
      <c r="G13" s="29"/>
      <c r="H13" s="30"/>
    </row>
    <row r="14" spans="1:8" ht="57.95" customHeight="1" thickBot="1">
      <c r="B14" s="18"/>
      <c r="C14" s="14"/>
      <c r="D14" s="26"/>
      <c r="E14" s="27"/>
      <c r="F14" s="27"/>
      <c r="G14" s="27"/>
      <c r="H14" s="28"/>
    </row>
  </sheetData>
  <mergeCells count="3">
    <mergeCell ref="B1:H1"/>
    <mergeCell ref="D13:H13"/>
    <mergeCell ref="D14:H14"/>
  </mergeCells>
  <phoneticPr fontId="7" type="noConversion"/>
  <printOptions horizontalCentered="1" verticalCentered="1"/>
  <pageMargins left="0.5" right="0.5" top="0.75" bottom="0.75"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Ene</vt:lpstr>
      <vt:lpstr>Mar</vt:lpstr>
      <vt:lpstr>Apr</vt:lpstr>
      <vt:lpstr>May</vt:lpstr>
      <vt:lpstr>Jun</vt:lpstr>
      <vt:lpstr>Jul</vt:lpstr>
      <vt:lpstr>Ago</vt:lpstr>
      <vt:lpstr>Sep</vt:lpstr>
      <vt:lpstr>Oct</vt:lpstr>
      <vt:lpstr>Nov</vt:lpstr>
      <vt:lpstr>Dec</vt:lpstr>
      <vt:lpstr>Lista de búsqueda</vt:lpstr>
      <vt:lpstr>Ene!Área_de_impresión</vt:lpstr>
      <vt:lpstr>Mar!Área_de_impresión</vt:lpstr>
      <vt:lpstr>CalendarYear</vt:lpstr>
      <vt:lpstr>Year</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a01839</cp:lastModifiedBy>
  <cp:lastPrinted>2018-02-24T21:06:41Z</cp:lastPrinted>
  <dcterms:created xsi:type="dcterms:W3CDTF">2001-05-02T15:52:45Z</dcterms:created>
  <dcterms:modified xsi:type="dcterms:W3CDTF">2018-02-28T11:37:10Z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TC102851621033</vt:lpwstr>
  </property>
</Properties>
</file>